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Paweł\Desktop\Szkolenie UM Dom bez rachunków\"/>
    </mc:Choice>
  </mc:AlternateContent>
  <xr:revisionPtr revIDLastSave="0" documentId="13_ncr:1_{7DB88F2C-A117-4038-B0DF-F9C81DFE2245}" xr6:coauthVersionLast="43" xr6:coauthVersionMax="43" xr10:uidLastSave="{00000000-0000-0000-0000-000000000000}"/>
  <bookViews>
    <workbookView xWindow="-96" yWindow="-96" windowWidth="23232" windowHeight="13152" xr2:uid="{00000000-000D-0000-FFFF-FFFF00000000}"/>
  </bookViews>
  <sheets>
    <sheet name="Dane" sheetId="1" r:id="rId1"/>
    <sheet name="Wymagana moc PV co i cwu" sheetId="11" state="hidden" r:id="rId2"/>
    <sheet name="Roczny koszt ogrzewania i c.w.u" sheetId="2" r:id="rId3"/>
    <sheet name="Względny koszt roczny" sheetId="4" state="hidden" r:id="rId4"/>
    <sheet name="Koszt 1 kWh " sheetId="3" state="hidden" r:id="rId5"/>
    <sheet name="Szacowana moc PV" sheetId="5" r:id="rId6"/>
    <sheet name="Koszt ogrzewania i cwu" sheetId="6" state="hidden" r:id="rId7"/>
    <sheet name="Moc PV dla różnych PC" sheetId="12" state="hidden" r:id="rId8"/>
    <sheet name="Moc PV 100m2" sheetId="9" state="hidden" r:id="rId9"/>
    <sheet name="Moc PV 150m2" sheetId="7" state="hidden" r:id="rId10"/>
    <sheet name="Moc PV 200m2" sheetId="10" state="hidden" r:id="rId11"/>
    <sheet name="Moc PV" sheetId="8" state="hidden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C25" i="1" l="1"/>
  <c r="C26" i="1" s="1"/>
  <c r="C27" i="1" s="1"/>
  <c r="E25" i="1"/>
  <c r="E26" i="1" s="1"/>
  <c r="E27" i="1" s="1"/>
  <c r="Q37" i="1" l="1"/>
  <c r="O23" i="1" l="1"/>
  <c r="Q23" i="1"/>
  <c r="A23" i="1" s="1"/>
  <c r="A37" i="1" s="1"/>
  <c r="A51" i="1" s="1"/>
  <c r="E16" i="1"/>
  <c r="E15" i="1"/>
  <c r="F15" i="1" s="1"/>
  <c r="C15" i="1" s="1"/>
  <c r="E8" i="1"/>
  <c r="F8" i="1"/>
  <c r="C8" i="1" s="1"/>
  <c r="E9" i="1"/>
  <c r="F9" i="1"/>
  <c r="C9" i="1"/>
  <c r="E10" i="1"/>
  <c r="E7" i="1"/>
  <c r="F7" i="1"/>
  <c r="C7" i="1"/>
  <c r="F16" i="1"/>
  <c r="C16" i="1"/>
  <c r="F10" i="1"/>
  <c r="C10" i="1"/>
  <c r="Q36" i="1"/>
  <c r="J36" i="1"/>
  <c r="J37" i="1" s="1"/>
  <c r="E60" i="1"/>
  <c r="D60" i="1"/>
  <c r="E54" i="1"/>
  <c r="D54" i="1"/>
  <c r="E48" i="1"/>
  <c r="D48" i="1"/>
  <c r="E41" i="1"/>
  <c r="D41" i="1"/>
  <c r="O34" i="1"/>
  <c r="Q34" i="1"/>
  <c r="A34" i="1"/>
  <c r="A48" i="1"/>
  <c r="A62" i="1"/>
  <c r="E23" i="1"/>
  <c r="F23" i="1"/>
  <c r="I29" i="1"/>
  <c r="O29" i="1"/>
  <c r="Q29" i="1"/>
  <c r="A29" i="1"/>
  <c r="A43" i="1"/>
  <c r="A57" i="1"/>
  <c r="O30" i="1"/>
  <c r="Q30" i="1"/>
  <c r="A30" i="1"/>
  <c r="A44" i="1"/>
  <c r="A58" i="1"/>
  <c r="O31" i="1"/>
  <c r="Q31" i="1"/>
  <c r="A31" i="1"/>
  <c r="A45" i="1"/>
  <c r="A59" i="1"/>
  <c r="O32" i="1"/>
  <c r="Q32" i="1"/>
  <c r="A32" i="1"/>
  <c r="A46" i="1"/>
  <c r="A60" i="1"/>
  <c r="O33" i="1"/>
  <c r="Q33" i="1"/>
  <c r="A33" i="1"/>
  <c r="A47" i="1"/>
  <c r="A61" i="1"/>
  <c r="O28" i="1"/>
  <c r="Q28" i="1"/>
  <c r="A28" i="1"/>
  <c r="A42" i="1"/>
  <c r="A56" i="1"/>
  <c r="E30" i="1"/>
  <c r="F30" i="1"/>
  <c r="E29" i="1"/>
  <c r="F29" i="1"/>
  <c r="E31" i="1"/>
  <c r="F31" i="1"/>
  <c r="E32" i="1"/>
  <c r="F32" i="1"/>
  <c r="E33" i="1"/>
  <c r="F33" i="1"/>
  <c r="E34" i="1"/>
  <c r="F34" i="1"/>
  <c r="E28" i="1"/>
  <c r="F28" i="1"/>
  <c r="B17" i="1"/>
  <c r="E62" i="1" s="1"/>
  <c r="E44" i="1" l="1"/>
  <c r="E45" i="1"/>
  <c r="C73" i="1" s="1"/>
  <c r="E52" i="1"/>
  <c r="C72" i="1" s="1"/>
  <c r="E58" i="1"/>
  <c r="C74" i="1" s="1"/>
  <c r="E64" i="1"/>
  <c r="C75" i="1" s="1"/>
  <c r="E56" i="1"/>
  <c r="E50" i="1"/>
  <c r="M36" i="1"/>
  <c r="S36" i="1" s="1"/>
  <c r="B6" i="1"/>
  <c r="B20" i="1" l="1"/>
  <c r="B83" i="1" s="1"/>
  <c r="M37" i="1"/>
  <c r="S37" i="1" s="1"/>
  <c r="B82" i="1"/>
  <c r="B81" i="1"/>
  <c r="B80" i="1"/>
  <c r="B79" i="1"/>
  <c r="D44" i="1"/>
  <c r="G44" i="1" s="1"/>
  <c r="D45" i="1"/>
  <c r="B73" i="1" s="1"/>
  <c r="D50" i="1"/>
  <c r="G50" i="1" s="1"/>
  <c r="D52" i="1"/>
  <c r="B72" i="1" s="1"/>
  <c r="D64" i="1"/>
  <c r="G64" i="1" s="1"/>
  <c r="B45" i="1"/>
  <c r="B44" i="1"/>
  <c r="B42" i="1"/>
  <c r="B46" i="1"/>
  <c r="B60" i="1" s="1"/>
  <c r="B18" i="1"/>
  <c r="D49" i="1" s="1"/>
  <c r="B19" i="1"/>
  <c r="E42" i="1" s="1"/>
  <c r="E43" i="1" s="1"/>
  <c r="B43" i="1"/>
  <c r="D56" i="1"/>
  <c r="G56" i="1" s="1"/>
  <c r="D58" i="1"/>
  <c r="D62" i="1"/>
  <c r="G62" i="1" s="1"/>
  <c r="B48" i="1"/>
  <c r="F42" i="1"/>
  <c r="F49" i="1" s="1"/>
  <c r="F55" i="1" s="1"/>
  <c r="B37" i="1"/>
  <c r="B47" i="1"/>
  <c r="B62" i="1" l="1"/>
  <c r="B57" i="1"/>
  <c r="B51" i="1"/>
  <c r="B58" i="1"/>
  <c r="B75" i="1"/>
  <c r="B61" i="1"/>
  <c r="B59" i="1"/>
  <c r="B56" i="1"/>
  <c r="D55" i="1"/>
  <c r="D57" i="1" s="1"/>
  <c r="E55" i="1"/>
  <c r="E57" i="1" s="1"/>
  <c r="D61" i="1"/>
  <c r="D42" i="1"/>
  <c r="D43" i="1" s="1"/>
  <c r="E49" i="1"/>
  <c r="E51" i="1" s="1"/>
  <c r="E61" i="1"/>
  <c r="E63" i="1" s="1"/>
  <c r="B74" i="1"/>
  <c r="G58" i="1"/>
  <c r="G43" i="1"/>
  <c r="F61" i="1"/>
  <c r="G61" i="1" s="1"/>
  <c r="G55" i="1"/>
  <c r="G49" i="1"/>
  <c r="B65" i="1" s="1"/>
  <c r="H49" i="1"/>
  <c r="D51" i="1"/>
  <c r="D63" i="1"/>
  <c r="H55" i="1" l="1"/>
  <c r="H61" i="1"/>
  <c r="F63" i="1" s="1"/>
  <c r="O27" i="1" s="1"/>
  <c r="H43" i="1"/>
  <c r="B66" i="1" s="1"/>
  <c r="G51" i="1"/>
  <c r="F57" i="1"/>
  <c r="O26" i="1" s="1"/>
  <c r="B67" i="1"/>
  <c r="G52" i="1"/>
  <c r="F51" i="1"/>
  <c r="B68" i="1" l="1"/>
  <c r="G45" i="1"/>
  <c r="F43" i="1"/>
  <c r="F44" i="1" s="1"/>
  <c r="F45" i="1" s="1"/>
  <c r="B27" i="1"/>
  <c r="F27" i="1" s="1"/>
  <c r="B41" i="1" s="1"/>
  <c r="B55" i="1" s="1"/>
  <c r="Q27" i="1"/>
  <c r="A27" i="1" s="1"/>
  <c r="A41" i="1" s="1"/>
  <c r="A55" i="1" s="1"/>
  <c r="A68" i="1" s="1"/>
  <c r="A75" i="1" s="1"/>
  <c r="O24" i="1"/>
  <c r="F52" i="1"/>
  <c r="B26" i="1"/>
  <c r="F26" i="1" s="1"/>
  <c r="B40" i="1" s="1"/>
  <c r="B54" i="1" s="1"/>
  <c r="Q26" i="1"/>
  <c r="A26" i="1" s="1"/>
  <c r="A40" i="1" s="1"/>
  <c r="A54" i="1" s="1"/>
  <c r="A67" i="1" s="1"/>
  <c r="A74" i="1" s="1"/>
  <c r="O25" i="1" l="1"/>
  <c r="Q25" i="1" s="1"/>
  <c r="A25" i="1" s="1"/>
  <c r="A39" i="1" s="1"/>
  <c r="A53" i="1" s="1"/>
  <c r="A66" i="1" s="1"/>
  <c r="A73" i="1" s="1"/>
  <c r="Q24" i="1"/>
  <c r="A24" i="1" s="1"/>
  <c r="A38" i="1" s="1"/>
  <c r="A52" i="1" s="1"/>
  <c r="A65" i="1" s="1"/>
  <c r="A72" i="1" s="1"/>
  <c r="B24" i="1"/>
  <c r="F24" i="1" s="1"/>
  <c r="B25" i="1" l="1"/>
  <c r="F25" i="1" s="1"/>
  <c r="B39" i="1" s="1"/>
  <c r="B53" i="1" s="1"/>
  <c r="B49" i="1"/>
  <c r="B38" i="1"/>
  <c r="B52" i="1" s="1"/>
</calcChain>
</file>

<file path=xl/sharedStrings.xml><?xml version="1.0" encoding="utf-8"?>
<sst xmlns="http://schemas.openxmlformats.org/spreadsheetml/2006/main" count="112" uniqueCount="75">
  <si>
    <t>Pompa ciepła powietrze/woda (SPF=3,3 taryfa dzienna)</t>
  </si>
  <si>
    <t>Liczba osób</t>
  </si>
  <si>
    <t>Powierzchnia ogrzewana</t>
  </si>
  <si>
    <r>
      <t>m</t>
    </r>
    <r>
      <rPr>
        <b/>
        <vertAlign val="superscript"/>
        <sz val="11"/>
        <rFont val="Calibri"/>
        <family val="2"/>
        <charset val="238"/>
      </rPr>
      <t>2</t>
    </r>
  </si>
  <si>
    <t>Zapotrzebowanie ciepła użytkowego na ogrzewanie</t>
  </si>
  <si>
    <r>
      <t>kWh/m</t>
    </r>
    <r>
      <rPr>
        <b/>
        <vertAlign val="superscript"/>
        <sz val="11"/>
        <rFont val="Calibri"/>
        <family val="2"/>
        <charset val="238"/>
      </rPr>
      <t>2</t>
    </r>
    <r>
      <rPr>
        <b/>
        <sz val="11"/>
        <rFont val="Calibri"/>
        <family val="2"/>
        <charset val="238"/>
      </rPr>
      <t>/rok</t>
    </r>
  </si>
  <si>
    <t>osób</t>
  </si>
  <si>
    <t>l./os./dzień</t>
  </si>
  <si>
    <t>Temperatura ciepłej wody</t>
  </si>
  <si>
    <t>Temperatura zimnej wody</t>
  </si>
  <si>
    <t>kWh/rok</t>
  </si>
  <si>
    <t>Ilość kWh w jednostce</t>
  </si>
  <si>
    <t>Jednostkowy  koszt paliwa [gr/jednostka]</t>
  </si>
  <si>
    <r>
      <rPr>
        <b/>
        <vertAlign val="superscript"/>
        <sz val="11"/>
        <color indexed="63"/>
        <rFont val="Calibri"/>
        <family val="2"/>
        <charset val="238"/>
      </rPr>
      <t>o</t>
    </r>
    <r>
      <rPr>
        <b/>
        <sz val="11"/>
        <rFont val="Calibri"/>
        <family val="2"/>
        <charset val="238"/>
      </rPr>
      <t>C</t>
    </r>
  </si>
  <si>
    <t>Rodzaj systemu grzewczego i paliwo</t>
  </si>
  <si>
    <t>Budynek EU 40</t>
  </si>
  <si>
    <t>Budynek EU 15</t>
  </si>
  <si>
    <t>Koszty roczne ogrzewania w zł</t>
  </si>
  <si>
    <t>Standard WT 2017</t>
  </si>
  <si>
    <t>%)</t>
  </si>
  <si>
    <t>Sprawność lub SCOP (dot. c.o. i c.w.u.)</t>
  </si>
  <si>
    <t xml:space="preserve">Kocioł na pelet (sprawność średn. </t>
  </si>
  <si>
    <t xml:space="preserve">Kocioł na kawałki drewna (sprawność średn. </t>
  </si>
  <si>
    <t xml:space="preserve">Kocioł węglowy, retortowy (sprawność średn. </t>
  </si>
  <si>
    <t xml:space="preserve">Kocioł gazowy kondensacyjny GZ (sprawność średn. </t>
  </si>
  <si>
    <t xml:space="preserve">Kocioł gazowy kondensacyjny propan (sprawność średn. </t>
  </si>
  <si>
    <t xml:space="preserve"> taryfa G12w, grzejniki)</t>
  </si>
  <si>
    <t xml:space="preserve"> taryfa G12w, o. podłogowe)</t>
  </si>
  <si>
    <t>COP co</t>
  </si>
  <si>
    <t>COP cwu</t>
  </si>
  <si>
    <t>P/W</t>
  </si>
  <si>
    <t>S/W</t>
  </si>
  <si>
    <t xml:space="preserve">Roczny koszt ogrzewania budynku o pow. </t>
  </si>
  <si>
    <t xml:space="preserve">Kocioł  kondensacyjny olej (sprawność średn. </t>
  </si>
  <si>
    <t xml:space="preserve"> oraz </t>
  </si>
  <si>
    <t xml:space="preserve"> m2 </t>
  </si>
  <si>
    <t>Wymagana moc PV w ramach systemu opustu w kWp</t>
  </si>
  <si>
    <t>)</t>
  </si>
  <si>
    <t>Roczne zapotrzebowanie ciepła użytk.  na centralne ogrzewanie</t>
  </si>
  <si>
    <t>Standard budynku</t>
  </si>
  <si>
    <t>Standard WT 2021</t>
  </si>
  <si>
    <t>Dobowy pobór  ciepłej wody użytkowej</t>
  </si>
  <si>
    <t>Koszt 1 kWh ciepła [gr/kWh]</t>
  </si>
  <si>
    <t>Gazowa pompa ciepła (etas=</t>
  </si>
  <si>
    <r>
      <t>Etas</t>
    </r>
    <r>
      <rPr>
        <b/>
        <vertAlign val="subscript"/>
        <sz val="11"/>
        <color indexed="63"/>
        <rFont val="Calibri"/>
        <family val="2"/>
        <charset val="238"/>
      </rPr>
      <t>co</t>
    </r>
    <r>
      <rPr>
        <b/>
        <sz val="11"/>
        <color indexed="63"/>
        <rFont val="Calibri"/>
        <family val="2"/>
        <charset val="238"/>
      </rPr>
      <t xml:space="preserve"> 35</t>
    </r>
    <r>
      <rPr>
        <b/>
        <vertAlign val="superscript"/>
        <sz val="11"/>
        <color indexed="63"/>
        <rFont val="Calibri"/>
        <family val="2"/>
        <charset val="238"/>
      </rPr>
      <t>o</t>
    </r>
    <r>
      <rPr>
        <b/>
        <sz val="11"/>
        <color indexed="63"/>
        <rFont val="Calibri"/>
        <family val="2"/>
        <charset val="238"/>
      </rPr>
      <t>C pompy ciepła typu P/W</t>
    </r>
    <r>
      <rPr>
        <b/>
        <sz val="11"/>
        <color indexed="63"/>
        <rFont val="Calibri"/>
        <family val="2"/>
        <charset val="238"/>
      </rPr>
      <t xml:space="preserve"> z karty produktu (klimat umiarkowany)</t>
    </r>
  </si>
  <si>
    <r>
      <t>Etas</t>
    </r>
    <r>
      <rPr>
        <b/>
        <vertAlign val="subscript"/>
        <sz val="11"/>
        <color indexed="63"/>
        <rFont val="Calibri"/>
        <family val="2"/>
        <charset val="238"/>
      </rPr>
      <t>co</t>
    </r>
    <r>
      <rPr>
        <b/>
        <sz val="11"/>
        <color indexed="63"/>
        <rFont val="Calibri"/>
        <family val="2"/>
        <charset val="238"/>
      </rPr>
      <t xml:space="preserve"> 55</t>
    </r>
    <r>
      <rPr>
        <b/>
        <vertAlign val="superscript"/>
        <sz val="11"/>
        <color indexed="63"/>
        <rFont val="Calibri"/>
        <family val="2"/>
        <charset val="238"/>
      </rPr>
      <t>o</t>
    </r>
    <r>
      <rPr>
        <b/>
        <sz val="11"/>
        <color indexed="63"/>
        <rFont val="Calibri"/>
        <family val="2"/>
        <charset val="238"/>
      </rPr>
      <t>C pompy ciepła typu P/W z karty produktu</t>
    </r>
    <r>
      <rPr>
        <b/>
        <sz val="11"/>
        <color indexed="63"/>
        <rFont val="Calibri"/>
        <family val="2"/>
        <charset val="238"/>
      </rPr>
      <t xml:space="preserve">  (klimat umiarkowany)</t>
    </r>
  </si>
  <si>
    <r>
      <t>Etas</t>
    </r>
    <r>
      <rPr>
        <b/>
        <vertAlign val="subscript"/>
        <sz val="11"/>
        <color indexed="63"/>
        <rFont val="Calibri"/>
        <family val="2"/>
        <charset val="238"/>
      </rPr>
      <t>co</t>
    </r>
    <r>
      <rPr>
        <b/>
        <sz val="11"/>
        <color indexed="63"/>
        <rFont val="Calibri"/>
        <family val="2"/>
        <charset val="238"/>
      </rPr>
      <t xml:space="preserve"> 35</t>
    </r>
    <r>
      <rPr>
        <b/>
        <vertAlign val="superscript"/>
        <sz val="11"/>
        <color indexed="63"/>
        <rFont val="Calibri"/>
        <family val="2"/>
        <charset val="238"/>
      </rPr>
      <t>o</t>
    </r>
    <r>
      <rPr>
        <b/>
        <sz val="11"/>
        <color indexed="63"/>
        <rFont val="Calibri"/>
        <family val="2"/>
        <charset val="238"/>
      </rPr>
      <t>C pompy ciepła typu S/W z karty produktu</t>
    </r>
    <r>
      <rPr>
        <b/>
        <sz val="11"/>
        <color indexed="63"/>
        <rFont val="Calibri"/>
        <family val="2"/>
        <charset val="238"/>
      </rPr>
      <t xml:space="preserve"> (klimat umiarkowany)</t>
    </r>
  </si>
  <si>
    <r>
      <t>Etas</t>
    </r>
    <r>
      <rPr>
        <b/>
        <vertAlign val="subscript"/>
        <sz val="11"/>
        <color indexed="63"/>
        <rFont val="Calibri"/>
        <family val="2"/>
        <charset val="238"/>
      </rPr>
      <t>co</t>
    </r>
    <r>
      <rPr>
        <b/>
        <sz val="11"/>
        <color indexed="63"/>
        <rFont val="Calibri"/>
        <family val="2"/>
        <charset val="238"/>
      </rPr>
      <t xml:space="preserve"> 55</t>
    </r>
    <r>
      <rPr>
        <b/>
        <vertAlign val="superscript"/>
        <sz val="11"/>
        <color indexed="63"/>
        <rFont val="Calibri"/>
        <family val="2"/>
        <charset val="238"/>
      </rPr>
      <t>o</t>
    </r>
    <r>
      <rPr>
        <b/>
        <sz val="11"/>
        <color indexed="63"/>
        <rFont val="Calibri"/>
        <family val="2"/>
        <charset val="238"/>
      </rPr>
      <t>C pompy ciepła typu S/W z karty produktu</t>
    </r>
    <r>
      <rPr>
        <b/>
        <sz val="11"/>
        <color indexed="63"/>
        <rFont val="Calibri"/>
        <family val="2"/>
        <charset val="238"/>
      </rPr>
      <t xml:space="preserve"> (klimat umiarkowany)</t>
    </r>
  </si>
  <si>
    <t>SCOP =</t>
  </si>
  <si>
    <r>
      <t>Etawh</t>
    </r>
    <r>
      <rPr>
        <b/>
        <vertAlign val="subscript"/>
        <sz val="11"/>
        <color indexed="63"/>
        <rFont val="Calibri"/>
        <family val="2"/>
        <charset val="238"/>
      </rPr>
      <t>cwu</t>
    </r>
    <r>
      <rPr>
        <b/>
        <sz val="11"/>
        <color indexed="63"/>
        <rFont val="Calibri"/>
        <family val="2"/>
        <charset val="238"/>
      </rPr>
      <t>pompy ciepła typu S/W z karty produktu</t>
    </r>
    <r>
      <rPr>
        <b/>
        <sz val="11"/>
        <color indexed="63"/>
        <rFont val="Calibri"/>
        <family val="2"/>
        <charset val="238"/>
      </rPr>
      <t xml:space="preserve"> (klimat umiarkowany)</t>
    </r>
  </si>
  <si>
    <r>
      <t>Etawh</t>
    </r>
    <r>
      <rPr>
        <b/>
        <vertAlign val="subscript"/>
        <sz val="11"/>
        <color indexed="63"/>
        <rFont val="Calibri"/>
        <family val="2"/>
        <charset val="238"/>
      </rPr>
      <t>cwu</t>
    </r>
    <r>
      <rPr>
        <b/>
        <sz val="11"/>
        <color indexed="63"/>
        <rFont val="Calibri"/>
        <family val="2"/>
        <charset val="238"/>
      </rPr>
      <t>pompy ciepła typu P/W z karty produktu</t>
    </r>
    <r>
      <rPr>
        <b/>
        <sz val="11"/>
        <color indexed="63"/>
        <rFont val="Calibri"/>
        <family val="2"/>
        <charset val="238"/>
      </rPr>
      <t xml:space="preserve"> (klimat umiarkowany)</t>
    </r>
  </si>
  <si>
    <t>Zapotrzebowanie ciepła na potrzeby ciepłej wody użytkowej</t>
  </si>
  <si>
    <t>Udział rocznego zapotrzebowanie ciepła użytk.  na centralnego ogrzewania</t>
  </si>
  <si>
    <t xml:space="preserve">Udział rocznego zapotrzebowania ciepła na potrzeby c.w.u. </t>
  </si>
  <si>
    <t>Roczne zapotrzebowanie ciepła napotrzeby c.o. i c.w.u.</t>
  </si>
  <si>
    <t>Szacunek kosztów ogrzewania i mocy instalacji PV w ramach systemu opustu</t>
  </si>
  <si>
    <t>EU 15</t>
  </si>
  <si>
    <t>EU 40</t>
  </si>
  <si>
    <t>WT 2021</t>
  </si>
  <si>
    <t>WT 2017</t>
  </si>
  <si>
    <t>c.o.</t>
  </si>
  <si>
    <t>c.w.u.</t>
  </si>
  <si>
    <t xml:space="preserve">Pompa ciepła powietrze/woda (SCOP= </t>
  </si>
  <si>
    <t>Pompa ciepła solanka/woda (SCOP =</t>
  </si>
  <si>
    <t xml:space="preserve">Pompa ciepła powietrze/woda (SCOP = </t>
  </si>
  <si>
    <t xml:space="preserve"> kWh/(m2*rok)</t>
  </si>
  <si>
    <t xml:space="preserve">przy </t>
  </si>
  <si>
    <t>Pompa ciepła powietrze/woda (SCOP= 2,5, grzejniki)</t>
  </si>
  <si>
    <t>Pompa ciepła solanka/woda (SCOP =4,5, o. płaszczyznowe)</t>
  </si>
  <si>
    <t>Pompa ciepła solanka/woda (SCOP =4,0, o. płaszczyznowe)</t>
  </si>
  <si>
    <t>Pompa ciepła solanka/woda (SCOP =3,5, o.płaszczyznowe)</t>
  </si>
  <si>
    <t>Pompa ciepła powietrze/woda (SCOP = 3,0,  grzejniki)</t>
  </si>
  <si>
    <t xml:space="preserve">Wymagana moc PV dla ogrzewania budynku o pow. </t>
  </si>
  <si>
    <t xml:space="preserve">przygotowania c.w.u. (liczba osób: </t>
  </si>
  <si>
    <t>Koszt mośnika energii [gr/kWh]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</si>
</sst>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#,##0_ ;[Red]\-#,##0\ "/>
    <numFmt numFmtId="166" formatCode="0.0"/>
    <numFmt numFmtId="167" formatCode="#,##0.0_ ;[Red]\-#,##0.0\ "/>
  </numFmts>
  <fonts count="22" x14ac:knownFonts="1">
    <font>
      <sz val="11"/>
      <color theme="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</font>
    <font>
      <b/>
      <sz val="11"/>
      <name val="Calibri"/>
      <family val="2"/>
      <charset val="238"/>
    </font>
    <font>
      <b/>
      <vertAlign val="superscript"/>
      <sz val="11"/>
      <color indexed="63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vertAlign val="subscript"/>
      <sz val="11"/>
      <color indexed="63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</borders>
  <cellStyleXfs count="9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16" applyNumberFormat="0" applyAlignment="0" applyProtection="0"/>
    <xf numFmtId="0" fontId="9" fillId="5" borderId="17" applyNumberFormat="0" applyAlignment="0" applyProtection="0"/>
    <xf numFmtId="164" fontId="6" fillId="0" borderId="0" applyFont="0" applyFill="0" applyBorder="0" applyAlignment="0" applyProtection="0"/>
    <xf numFmtId="0" fontId="11" fillId="0" borderId="18" applyNumberFormat="0" applyFill="0" applyAlignment="0" applyProtection="0"/>
    <xf numFmtId="0" fontId="12" fillId="5" borderId="16" applyNumberFormat="0" applyAlignment="0" applyProtection="0"/>
    <xf numFmtId="9" fontId="6" fillId="0" borderId="0" applyFont="0" applyFill="0" applyBorder="0" applyAlignment="0" applyProtection="0"/>
  </cellStyleXfs>
  <cellXfs count="67">
    <xf numFmtId="0" fontId="0" fillId="0" borderId="0" xfId="0"/>
    <xf numFmtId="9" fontId="14" fillId="4" borderId="1" xfId="3" applyNumberFormat="1" applyFont="1" applyBorder="1" applyAlignment="1">
      <alignment horizontal="center"/>
    </xf>
    <xf numFmtId="0" fontId="14" fillId="4" borderId="1" xfId="3" applyFont="1" applyBorder="1" applyAlignment="1">
      <alignment horizontal="center"/>
    </xf>
    <xf numFmtId="0" fontId="9" fillId="5" borderId="2" xfId="4" applyBorder="1"/>
    <xf numFmtId="0" fontId="9" fillId="5" borderId="3" xfId="4" applyBorder="1"/>
    <xf numFmtId="0" fontId="15" fillId="2" borderId="5" xfId="1" applyFont="1" applyBorder="1" applyAlignment="1">
      <alignment horizontal="center" wrapText="1"/>
    </xf>
    <xf numFmtId="0" fontId="15" fillId="2" borderId="6" xfId="1" applyFont="1" applyBorder="1" applyAlignment="1">
      <alignment horizontal="center" wrapText="1"/>
    </xf>
    <xf numFmtId="165" fontId="7" fillId="0" borderId="0" xfId="0" applyNumberFormat="1" applyFont="1"/>
    <xf numFmtId="0" fontId="16" fillId="2" borderId="5" xfId="1" applyFont="1" applyBorder="1" applyAlignment="1">
      <alignment horizontal="center" wrapText="1"/>
    </xf>
    <xf numFmtId="0" fontId="7" fillId="0" borderId="0" xfId="0" applyFont="1"/>
    <xf numFmtId="1" fontId="7" fillId="0" borderId="0" xfId="0" applyNumberFormat="1" applyFont="1"/>
    <xf numFmtId="165" fontId="17" fillId="4" borderId="1" xfId="3" applyNumberFormat="1" applyFont="1" applyBorder="1" applyAlignment="1" applyProtection="1">
      <alignment horizontal="center" vertical="center"/>
      <protection locked="0"/>
    </xf>
    <xf numFmtId="165" fontId="12" fillId="5" borderId="1" xfId="7" applyNumberFormat="1" applyBorder="1" applyAlignment="1" applyProtection="1">
      <alignment horizontal="center" vertical="center"/>
      <protection locked="0"/>
    </xf>
    <xf numFmtId="0" fontId="9" fillId="5" borderId="7" xfId="4" applyBorder="1"/>
    <xf numFmtId="165" fontId="17" fillId="4" borderId="5" xfId="3" applyNumberFormat="1" applyFont="1" applyBorder="1" applyAlignment="1" applyProtection="1">
      <alignment horizontal="center" vertical="center"/>
      <protection locked="0"/>
    </xf>
    <xf numFmtId="0" fontId="9" fillId="5" borderId="6" xfId="4" applyBorder="1"/>
    <xf numFmtId="0" fontId="9" fillId="5" borderId="8" xfId="4" applyBorder="1"/>
    <xf numFmtId="165" fontId="12" fillId="5" borderId="4" xfId="7" applyNumberFormat="1" applyBorder="1" applyAlignment="1" applyProtection="1">
      <alignment horizontal="center" vertical="center"/>
      <protection locked="0"/>
    </xf>
    <xf numFmtId="0" fontId="9" fillId="5" borderId="9" xfId="4" applyBorder="1"/>
    <xf numFmtId="165" fontId="17" fillId="4" borderId="10" xfId="3" applyNumberFormat="1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3" fillId="0" borderId="0" xfId="0" applyFont="1"/>
    <xf numFmtId="166" fontId="14" fillId="4" borderId="1" xfId="3" applyNumberFormat="1" applyFont="1" applyBorder="1" applyAlignment="1">
      <alignment horizontal="center"/>
    </xf>
    <xf numFmtId="0" fontId="19" fillId="6" borderId="1" xfId="2" applyFont="1" applyFill="1" applyBorder="1"/>
    <xf numFmtId="1" fontId="20" fillId="6" borderId="1" xfId="2" applyNumberFormat="1" applyFont="1" applyFill="1" applyBorder="1"/>
    <xf numFmtId="0" fontId="9" fillId="5" borderId="0" xfId="4" applyBorder="1"/>
    <xf numFmtId="9" fontId="20" fillId="6" borderId="1" xfId="8" applyFont="1" applyFill="1" applyBorder="1"/>
    <xf numFmtId="0" fontId="9" fillId="5" borderId="11" xfId="4" applyBorder="1"/>
    <xf numFmtId="9" fontId="12" fillId="5" borderId="12" xfId="8" applyFont="1" applyFill="1" applyBorder="1" applyAlignment="1" applyProtection="1">
      <alignment horizontal="center" vertical="center"/>
      <protection locked="0"/>
    </xf>
    <xf numFmtId="0" fontId="9" fillId="5" borderId="13" xfId="4" applyBorder="1"/>
    <xf numFmtId="0" fontId="20" fillId="2" borderId="7" xfId="1" applyFont="1" applyBorder="1" applyAlignment="1">
      <alignment horizontal="left"/>
    </xf>
    <xf numFmtId="166" fontId="20" fillId="6" borderId="1" xfId="2" applyNumberFormat="1" applyFont="1" applyFill="1" applyBorder="1"/>
    <xf numFmtId="166" fontId="14" fillId="7" borderId="1" xfId="3" applyNumberFormat="1" applyFont="1" applyFill="1" applyBorder="1" applyAlignment="1">
      <alignment horizontal="center"/>
    </xf>
    <xf numFmtId="0" fontId="10" fillId="0" borderId="0" xfId="0" applyFont="1" applyAlignment="1">
      <alignment horizontal="right" vertical="center" readingOrder="1"/>
    </xf>
    <xf numFmtId="0" fontId="13" fillId="0" borderId="0" xfId="0" applyFont="1" applyAlignment="1">
      <alignment horizontal="center"/>
    </xf>
    <xf numFmtId="9" fontId="17" fillId="4" borderId="1" xfId="8" applyFont="1" applyFill="1" applyBorder="1" applyAlignment="1" applyProtection="1">
      <alignment horizontal="center" vertical="center"/>
      <protection locked="0"/>
    </xf>
    <xf numFmtId="2" fontId="9" fillId="5" borderId="8" xfId="4" applyNumberFormat="1" applyBorder="1" applyAlignment="1">
      <alignment horizontal="center"/>
    </xf>
    <xf numFmtId="0" fontId="9" fillId="5" borderId="14" xfId="4" applyBorder="1"/>
    <xf numFmtId="0" fontId="9" fillId="5" borderId="15" xfId="4" applyBorder="1"/>
    <xf numFmtId="2" fontId="7" fillId="0" borderId="0" xfId="0" applyNumberFormat="1" applyFont="1"/>
    <xf numFmtId="1" fontId="14" fillId="5" borderId="8" xfId="4" applyNumberFormat="1" applyFont="1" applyBorder="1" applyAlignment="1">
      <alignment horizontal="center"/>
    </xf>
    <xf numFmtId="0" fontId="11" fillId="0" borderId="18" xfId="6"/>
    <xf numFmtId="0" fontId="9" fillId="5" borderId="0" xfId="4" applyBorder="1" applyAlignment="1">
      <alignment horizontal="center"/>
    </xf>
    <xf numFmtId="166" fontId="20" fillId="6" borderId="1" xfId="2" applyNumberFormat="1" applyFont="1" applyFill="1" applyBorder="1" applyAlignment="1">
      <alignment horizontal="center"/>
    </xf>
    <xf numFmtId="167" fontId="7" fillId="8" borderId="0" xfId="0" applyNumberFormat="1" applyFont="1" applyFill="1"/>
    <xf numFmtId="0" fontId="7" fillId="8" borderId="0" xfId="0" applyFont="1" applyFill="1"/>
    <xf numFmtId="9" fontId="7" fillId="8" borderId="0" xfId="0" applyNumberFormat="1" applyFont="1" applyFill="1"/>
    <xf numFmtId="165" fontId="7" fillId="8" borderId="0" xfId="0" applyNumberFormat="1" applyFont="1" applyFill="1"/>
    <xf numFmtId="2" fontId="7" fillId="8" borderId="0" xfId="0" applyNumberFormat="1" applyFont="1" applyFill="1"/>
    <xf numFmtId="1" fontId="7" fillId="8" borderId="0" xfId="0" applyNumberFormat="1" applyFont="1" applyFill="1"/>
    <xf numFmtId="166" fontId="7" fillId="8" borderId="0" xfId="0" applyNumberFormat="1" applyFont="1" applyFill="1"/>
    <xf numFmtId="0" fontId="10" fillId="0" borderId="0" xfId="0" applyFont="1"/>
    <xf numFmtId="0" fontId="10" fillId="0" borderId="0" xfId="0" applyFont="1" applyAlignment="1">
      <alignment horizontal="right"/>
    </xf>
    <xf numFmtId="166" fontId="10" fillId="0" borderId="0" xfId="0" applyNumberFormat="1" applyFont="1"/>
    <xf numFmtId="0" fontId="14" fillId="0" borderId="0" xfId="0" applyFont="1"/>
    <xf numFmtId="164" fontId="10" fillId="0" borderId="0" xfId="5" applyFont="1"/>
    <xf numFmtId="2" fontId="10" fillId="0" borderId="0" xfId="0" applyNumberFormat="1" applyFont="1"/>
    <xf numFmtId="0" fontId="18" fillId="8" borderId="0" xfId="0" applyFont="1" applyFill="1"/>
    <xf numFmtId="0" fontId="7" fillId="0" borderId="0" xfId="0" applyFont="1" applyAlignment="1">
      <alignment horizontal="center"/>
    </xf>
    <xf numFmtId="0" fontId="21" fillId="0" borderId="0" xfId="0" applyFont="1"/>
    <xf numFmtId="0" fontId="12" fillId="5" borderId="12" xfId="5" applyNumberFormat="1" applyFont="1" applyFill="1" applyBorder="1" applyAlignment="1" applyProtection="1">
      <alignment horizontal="center" vertical="center"/>
      <protection locked="0"/>
    </xf>
    <xf numFmtId="9" fontId="14" fillId="9" borderId="1" xfId="3" applyNumberFormat="1" applyFont="1" applyFill="1" applyBorder="1" applyAlignment="1">
      <alignment horizontal="center"/>
    </xf>
    <xf numFmtId="0" fontId="14" fillId="9" borderId="1" xfId="3" applyFont="1" applyFill="1" applyBorder="1" applyAlignment="1">
      <alignment horizontal="center"/>
    </xf>
    <xf numFmtId="9" fontId="14" fillId="9" borderId="4" xfId="3" applyNumberFormat="1" applyFont="1" applyFill="1" applyBorder="1" applyAlignment="1">
      <alignment horizontal="center"/>
    </xf>
    <xf numFmtId="0" fontId="14" fillId="9" borderId="4" xfId="3" applyFont="1" applyFill="1" applyBorder="1" applyAlignment="1">
      <alignment horizontal="center"/>
    </xf>
    <xf numFmtId="0" fontId="14" fillId="5" borderId="12" xfId="5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</cellXfs>
  <cellStyles count="9">
    <cellStyle name="20% — akcent 1" xfId="1" builtinId="30"/>
    <cellStyle name="Akcent 1" xfId="2" builtinId="29"/>
    <cellStyle name="Dane wejściowe" xfId="3" builtinId="20"/>
    <cellStyle name="Dane wyjściowe" xfId="4" builtinId="21"/>
    <cellStyle name="Dziesiętny" xfId="5" builtinId="3"/>
    <cellStyle name="Nagłówek 1" xfId="6" builtinId="16"/>
    <cellStyle name="Normalny" xfId="0" builtinId="0"/>
    <cellStyle name="Obliczenia" xfId="7" builtinId="22"/>
    <cellStyle name="Procentowy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xml"/><Relationship Id="rId13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hartsheet" Target="chartsheets/sheet11.xml"/><Relationship Id="rId2" Type="http://schemas.openxmlformats.org/officeDocument/2006/relationships/chartsheet" Target="chartsheets/sheet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hartsheet" Target="chartsheets/sheet10.xml"/><Relationship Id="rId5" Type="http://schemas.openxmlformats.org/officeDocument/2006/relationships/chartsheet" Target="chartsheets/sheet4.xml"/><Relationship Id="rId15" Type="http://schemas.openxmlformats.org/officeDocument/2006/relationships/sharedStrings" Target="sharedStrings.xml"/><Relationship Id="rId10" Type="http://schemas.openxmlformats.org/officeDocument/2006/relationships/chartsheet" Target="chartsheets/sheet9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8.xml"/><Relationship Id="rId14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Dane!$S$36</c:f>
          <c:strCache>
            <c:ptCount val="1"/>
            <c:pt idx="0">
              <c:v>Roczny koszt ogrzewania budynku o pow. 150 m2 przy 65 kWh/(m2*rok) oraz przygotowania c.w.u. (liczba osób: 4)</c:v>
            </c:pt>
          </c:strCache>
        </c:strRef>
      </c:tx>
      <c:overlay val="0"/>
      <c:spPr>
        <a:noFill/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50208907951313309"/>
          <c:y val="0.12065158521851437"/>
          <c:w val="0.46592643328019506"/>
          <c:h val="0.73779971947950962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13D3-467B-9A0B-6E061BA3EDC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3D3-467B-9A0B-6E061BA3EDC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13D3-467B-9A0B-6E061BA3EDC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3D3-467B-9A0B-6E061BA3EDC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4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13D3-467B-9A0B-6E061BA3EDC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3D3-467B-9A0B-6E061BA3EDCB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13D3-467B-9A0B-6E061BA3EDCB}"/>
              </c:ext>
            </c:extLst>
          </c:dPt>
          <c:dPt>
            <c:idx val="7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3D3-467B-9A0B-6E061BA3EDCB}"/>
              </c:ext>
            </c:extLst>
          </c:dPt>
          <c:dPt>
            <c:idx val="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13D3-467B-9A0B-6E061BA3EDCB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3D3-467B-9A0B-6E061BA3EDCB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13D3-467B-9A0B-6E061BA3EDCB}"/>
              </c:ext>
            </c:extLst>
          </c:dPt>
          <c:dLbls>
            <c:dLbl>
              <c:idx val="0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13D3-467B-9A0B-6E061BA3EDCB}"/>
                </c:ext>
              </c:extLst>
            </c:dLbl>
            <c:dLbl>
              <c:idx val="1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13D3-467B-9A0B-6E061BA3EDCB}"/>
                </c:ext>
              </c:extLst>
            </c:dLbl>
            <c:dLbl>
              <c:idx val="2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3D3-467B-9A0B-6E061BA3EDCB}"/>
                </c:ext>
              </c:extLst>
            </c:dLbl>
            <c:dLbl>
              <c:idx val="3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3D3-467B-9A0B-6E061BA3EDC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Dane!$A$38:$A$48</c:f>
              <c:strCache>
                <c:ptCount val="11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  <c:pt idx="4">
                  <c:v>Kocioł na pelet (sprawność średn. 85%)</c:v>
                </c:pt>
                <c:pt idx="5">
                  <c:v>Kocioł na kawałki drewna (sprawność średn. 80%)</c:v>
                </c:pt>
                <c:pt idx="6">
                  <c:v>Kocioł węglowy, retortowy (sprawność średn. 50%)</c:v>
                </c:pt>
                <c:pt idx="7">
                  <c:v>Kocioł węglowy, retortowy (sprawność średn. 80%)</c:v>
                </c:pt>
                <c:pt idx="8">
                  <c:v>Kocioł gazowy kondensacyjny GZ (sprawność średn. 87%)</c:v>
                </c:pt>
                <c:pt idx="9">
                  <c:v>Kocioł gazowy kondensacyjny propan (sprawność średn. 85%)</c:v>
                </c:pt>
                <c:pt idx="10">
                  <c:v>Kocioł  kondensacyjny olej (sprawność średn. 85%)</c:v>
                </c:pt>
              </c:strCache>
            </c:strRef>
          </c:cat>
          <c:val>
            <c:numRef>
              <c:f>Dane!$B$38:$B$48</c:f>
              <c:numCache>
                <c:formatCode>0</c:formatCode>
                <c:ptCount val="11"/>
                <c:pt idx="0">
                  <c:v>1880</c:v>
                </c:pt>
                <c:pt idx="1">
                  <c:v>1540</c:v>
                </c:pt>
                <c:pt idx="2">
                  <c:v>1720</c:v>
                </c:pt>
                <c:pt idx="3">
                  <c:v>1420</c:v>
                </c:pt>
                <c:pt idx="4">
                  <c:v>3040</c:v>
                </c:pt>
                <c:pt idx="5">
                  <c:v>1900</c:v>
                </c:pt>
                <c:pt idx="6">
                  <c:v>3300</c:v>
                </c:pt>
                <c:pt idx="7">
                  <c:v>2060</c:v>
                </c:pt>
                <c:pt idx="8">
                  <c:v>2980</c:v>
                </c:pt>
                <c:pt idx="9">
                  <c:v>3630</c:v>
                </c:pt>
                <c:pt idx="10">
                  <c:v>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3D3-467B-9A0B-6E061BA3E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332938840"/>
        <c:axId val="1"/>
      </c:barChart>
      <c:catAx>
        <c:axId val="3329388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pl-PL"/>
                  <a:t>Koszt roczny [zł/rok]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3329388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400" b="1">
                <a:solidFill>
                  <a:sysClr val="windowText" lastClr="000000"/>
                </a:solidFill>
              </a:rPr>
              <a:t>Szacowana moc instalacji fotowoltaicznej</a:t>
            </a:r>
            <a:r>
              <a:rPr lang="pl-PL" sz="1400" b="1" baseline="0">
                <a:solidFill>
                  <a:sysClr val="windowText" lastClr="000000"/>
                </a:solidFill>
              </a:rPr>
              <a:t> w ramach systemu opustu w kWp (c.o. + c.w.u.)</a:t>
            </a:r>
            <a:endParaRPr lang="pl-PL" sz="14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solidFill>
                <a:srgbClr val="FFFF00"/>
              </a:solidFill>
            </a:ln>
            <a:effectLst/>
          </c:spPr>
          <c:invertIfNegative val="0"/>
          <c:dLbls>
            <c:spPr>
              <a:noFill/>
              <a:ln w="25400">
                <a:solidFill>
                  <a:srgbClr val="FF0000"/>
                </a:solidFill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Dane!$A$65:$A$68</c:f>
              <c:strCache>
                <c:ptCount val="4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</c:strCache>
            </c:strRef>
          </c:cat>
          <c:val>
            <c:numRef>
              <c:f>Dane!$B$65:$B$68</c:f>
              <c:numCache>
                <c:formatCode>0.0</c:formatCode>
                <c:ptCount val="4"/>
                <c:pt idx="0">
                  <c:v>5.5273611111111105</c:v>
                </c:pt>
                <c:pt idx="1">
                  <c:v>4.4421567357512961</c:v>
                </c:pt>
                <c:pt idx="2">
                  <c:v>5.0243055555555554</c:v>
                </c:pt>
                <c:pt idx="3">
                  <c:v>4.0957341269841265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DC-4DEC-9930-BA031817B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32945728"/>
        <c:axId val="1"/>
      </c:barChart>
      <c:catAx>
        <c:axId val="3329457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29457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400" b="1">
                <a:solidFill>
                  <a:sysClr val="windowText" lastClr="000000"/>
                </a:solidFill>
              </a:rPr>
              <a:t>Szacowana moc PV (c.o. i c.w.u., PC P/W) w kWp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Dane!$B$71</c:f>
              <c:strCache>
                <c:ptCount val="1"/>
                <c:pt idx="0">
                  <c:v>c.o.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Dane!$A$72:$A$75</c:f>
              <c:strCache>
                <c:ptCount val="4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</c:strCache>
            </c:strRef>
          </c:cat>
          <c:val>
            <c:numRef>
              <c:f>Dane!$B$72:$B$75</c:f>
              <c:numCache>
                <c:formatCode>0.0</c:formatCode>
                <c:ptCount val="4"/>
                <c:pt idx="0">
                  <c:v>3.6111111111111107</c:v>
                </c:pt>
                <c:pt idx="1">
                  <c:v>2.5259067357512954</c:v>
                </c:pt>
                <c:pt idx="2">
                  <c:v>3.25</c:v>
                </c:pt>
                <c:pt idx="3">
                  <c:v>2.3214285714285716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89-4448-8403-3BA5A2321C9F}"/>
            </c:ext>
          </c:extLst>
        </c:ser>
        <c:ser>
          <c:idx val="1"/>
          <c:order val="1"/>
          <c:tx>
            <c:strRef>
              <c:f>Dane!$C$71</c:f>
              <c:strCache>
                <c:ptCount val="1"/>
                <c:pt idx="0">
                  <c:v>c.w.u.</c:v>
                </c:pt>
              </c:strCache>
            </c:strRef>
          </c:tx>
          <c:spPr>
            <a:solidFill>
              <a:srgbClr val="ED7D31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Dane!$A$72:$A$75</c:f>
              <c:strCache>
                <c:ptCount val="4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</c:strCache>
            </c:strRef>
          </c:cat>
          <c:val>
            <c:numRef>
              <c:f>Dane!$C$72:$C$75</c:f>
              <c:numCache>
                <c:formatCode>0.0</c:formatCode>
                <c:ptCount val="4"/>
                <c:pt idx="0">
                  <c:v>1.91625</c:v>
                </c:pt>
                <c:pt idx="1">
                  <c:v>1.91625</c:v>
                </c:pt>
                <c:pt idx="2">
                  <c:v>1.7743055555555554</c:v>
                </c:pt>
                <c:pt idx="3">
                  <c:v>1.7743055555555554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89-4448-8403-3BA5A2321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4549184"/>
        <c:axId val="1"/>
      </c:barChart>
      <c:catAx>
        <c:axId val="3345491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454918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Dane!$S$36</c:f>
          <c:strCache>
            <c:ptCount val="1"/>
            <c:pt idx="0">
              <c:v>Roczny koszt ogrzewania budynku o pow. 150 m2 przy 65 kWh/(m2*rok) oraz przygotowania c.w.u. (liczba osób: 4)</c:v>
            </c:pt>
          </c:strCache>
        </c:strRef>
      </c:tx>
      <c:overlay val="0"/>
      <c:txPr>
        <a:bodyPr/>
        <a:lstStyle/>
        <a:p>
          <a:pPr>
            <a:defRPr b="1"/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5034562898067777"/>
          <c:y val="0.15983888497925333"/>
          <c:w val="0.46592643328019506"/>
          <c:h val="0.81827556764507037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43E6-4EA4-AB90-75C0AE7B098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3E6-4EA4-AB90-75C0AE7B0983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3E6-4EA4-AB90-75C0AE7B098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3E6-4EA4-AB90-75C0AE7B0983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3E6-4EA4-AB90-75C0AE7B0983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6-4EA4-AB90-75C0AE7B0983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43E6-4EA4-AB90-75C0AE7B0983}"/>
              </c:ext>
            </c:extLst>
          </c:dPt>
          <c:dPt>
            <c:idx val="7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6-4EA4-AB90-75C0AE7B0983}"/>
              </c:ext>
            </c:extLst>
          </c:dPt>
          <c:dPt>
            <c:idx val="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43E6-4EA4-AB90-75C0AE7B0983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6-4EA4-AB90-75C0AE7B0983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43E6-4EA4-AB90-75C0AE7B0983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3E6-4EA4-AB90-75C0AE7B0983}"/>
              </c:ext>
            </c:extLst>
          </c:dPt>
          <c:dLbls>
            <c:dLbl>
              <c:idx val="0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3E6-4EA4-AB90-75C0AE7B0983}"/>
                </c:ext>
              </c:extLst>
            </c:dLbl>
            <c:dLbl>
              <c:idx val="1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3E6-4EA4-AB90-75C0AE7B0983}"/>
                </c:ext>
              </c:extLst>
            </c:dLbl>
            <c:dLbl>
              <c:idx val="2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3E6-4EA4-AB90-75C0AE7B0983}"/>
                </c:ext>
              </c:extLst>
            </c:dLbl>
            <c:dLbl>
              <c:idx val="3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3E6-4EA4-AB90-75C0AE7B0983}"/>
                </c:ext>
              </c:extLst>
            </c:dLbl>
            <c:dLbl>
              <c:idx val="4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3E6-4EA4-AB90-75C0AE7B098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Dane!$A$37:$A$48</c:f>
              <c:strCache>
                <c:ptCount val="11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  <c:pt idx="4">
                  <c:v>Kocioł na pelet (sprawność średn. 85%)</c:v>
                </c:pt>
                <c:pt idx="5">
                  <c:v>Kocioł na kawałki drewna (sprawność średn. 80%)</c:v>
                </c:pt>
                <c:pt idx="6">
                  <c:v>Kocioł węglowy, retortowy (sprawność średn. 50%)</c:v>
                </c:pt>
                <c:pt idx="7">
                  <c:v>Kocioł węglowy, retortowy (sprawność średn. 80%)</c:v>
                </c:pt>
                <c:pt idx="8">
                  <c:v>Kocioł gazowy kondensacyjny GZ (sprawność średn. 87%)</c:v>
                </c:pt>
                <c:pt idx="9">
                  <c:v>Kocioł gazowy kondensacyjny propan (sprawność średn. 85%)</c:v>
                </c:pt>
                <c:pt idx="10">
                  <c:v>Kocioł  kondensacyjny olej (sprawność średn. 85%)</c:v>
                </c:pt>
              </c:strCache>
            </c:strRef>
          </c:cat>
          <c:val>
            <c:numRef>
              <c:f>Dane!$B$37:$B$48</c:f>
              <c:numCache>
                <c:formatCode>0</c:formatCode>
                <c:ptCount val="11"/>
                <c:pt idx="0">
                  <c:v>1880</c:v>
                </c:pt>
                <c:pt idx="1">
                  <c:v>1540</c:v>
                </c:pt>
                <c:pt idx="2">
                  <c:v>1720</c:v>
                </c:pt>
                <c:pt idx="3">
                  <c:v>1420</c:v>
                </c:pt>
                <c:pt idx="4">
                  <c:v>3040</c:v>
                </c:pt>
                <c:pt idx="5">
                  <c:v>1900</c:v>
                </c:pt>
                <c:pt idx="6">
                  <c:v>3300</c:v>
                </c:pt>
                <c:pt idx="7">
                  <c:v>2060</c:v>
                </c:pt>
                <c:pt idx="8">
                  <c:v>2980</c:v>
                </c:pt>
                <c:pt idx="9">
                  <c:v>3630</c:v>
                </c:pt>
                <c:pt idx="10">
                  <c:v>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3E6-4EA4-AB90-75C0AE7B09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334552464"/>
        <c:axId val="1"/>
      </c:barChart>
      <c:catAx>
        <c:axId val="3345524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pl-PL"/>
                  <a:t>Koszt roczny [zł/rok]</a:t>
                </a:r>
              </a:p>
            </c:rich>
          </c:tx>
          <c:layout>
            <c:manualLayout>
              <c:xMode val="edge"/>
              <c:yMode val="edge"/>
              <c:x val="0.71911230550106142"/>
              <c:y val="6.4605154969688078E-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334552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l-PL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l-PL"/>
              <a:t>Względny koszt ogrzewania budynku i przygotowania c.w.u. odniesiony do kotła gazowego kondensacyjnego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50345628319437441"/>
          <c:y val="7.832356318064404E-2"/>
          <c:w val="0.46592643328019506"/>
          <c:h val="0.83513014907554206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CE55-44D0-BB0E-07817B2DBCF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E55-44D0-BB0E-07817B2DBCF3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CE55-44D0-BB0E-07817B2DBCF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E55-44D0-BB0E-07817B2DBCF3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CE55-44D0-BB0E-07817B2DBCF3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E55-44D0-BB0E-07817B2DBCF3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CE55-44D0-BB0E-07817B2DBCF3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E55-44D0-BB0E-07817B2DBCF3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CE55-44D0-BB0E-07817B2DBCF3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CE55-44D0-BB0E-07817B2DBCF3}"/>
              </c:ext>
            </c:extLst>
          </c:dPt>
          <c:dPt>
            <c:idx val="10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CE55-44D0-BB0E-07817B2DBCF3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E55-44D0-BB0E-07817B2DBCF3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Dane!$A$51:$A$62</c:f>
              <c:strCache>
                <c:ptCount val="12"/>
                <c:pt idx="0">
                  <c:v>Gazowa pompa ciepła (etas=125%)</c:v>
                </c:pt>
                <c:pt idx="1">
                  <c:v>Pompa ciepła powietrze/woda (SCOP= 3,1 taryfa G12w, grzejniki)</c:v>
                </c:pt>
                <c:pt idx="2">
                  <c:v>Pompa ciepła powietrze/woda (SCOP = 3,8 taryfa G12w, o. podłogowe)</c:v>
                </c:pt>
                <c:pt idx="3">
                  <c:v>Pompa ciepła solanka/woda (SCOP =3,4 taryfa G12w, grzejniki)</c:v>
                </c:pt>
                <c:pt idx="4">
                  <c:v>Pompa ciepła solanka/woda (SCOP =4,1 taryfa G12w, o. podłogowe)</c:v>
                </c:pt>
                <c:pt idx="5">
                  <c:v>Kocioł na pelet (sprawność średn. 85%)</c:v>
                </c:pt>
                <c:pt idx="6">
                  <c:v>Kocioł na kawałki drewna (sprawność średn. 80%)</c:v>
                </c:pt>
                <c:pt idx="7">
                  <c:v>Kocioł węglowy, retortowy (sprawność średn. 50%)</c:v>
                </c:pt>
                <c:pt idx="8">
                  <c:v>Kocioł węglowy, retortowy (sprawność średn. 80%)</c:v>
                </c:pt>
                <c:pt idx="9">
                  <c:v>Kocioł gazowy kondensacyjny GZ (sprawność średn. 87%)</c:v>
                </c:pt>
                <c:pt idx="10">
                  <c:v>Kocioł gazowy kondensacyjny propan (sprawność średn. 85%)</c:v>
                </c:pt>
                <c:pt idx="11">
                  <c:v>Kocioł  kondensacyjny olej (sprawność średn. 85%)</c:v>
                </c:pt>
              </c:strCache>
            </c:strRef>
          </c:cat>
          <c:val>
            <c:numRef>
              <c:f>Dane!$B$51:$B$62</c:f>
              <c:numCache>
                <c:formatCode>0%</c:formatCode>
                <c:ptCount val="12"/>
                <c:pt idx="0">
                  <c:v>0.69463087248322153</c:v>
                </c:pt>
                <c:pt idx="1">
                  <c:v>0.63087248322147649</c:v>
                </c:pt>
                <c:pt idx="2">
                  <c:v>0.51677852348993292</c:v>
                </c:pt>
                <c:pt idx="3">
                  <c:v>0.57718120805369133</c:v>
                </c:pt>
                <c:pt idx="4">
                  <c:v>0.47651006711409394</c:v>
                </c:pt>
                <c:pt idx="5">
                  <c:v>1.0201342281879195</c:v>
                </c:pt>
                <c:pt idx="6">
                  <c:v>0.63758389261744963</c:v>
                </c:pt>
                <c:pt idx="7">
                  <c:v>1.1073825503355705</c:v>
                </c:pt>
                <c:pt idx="8">
                  <c:v>0.6912751677852349</c:v>
                </c:pt>
                <c:pt idx="9">
                  <c:v>1</c:v>
                </c:pt>
                <c:pt idx="10">
                  <c:v>1.2181208053691275</c:v>
                </c:pt>
                <c:pt idx="11">
                  <c:v>1.5402684563758389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E55-44D0-BB0E-07817B2DBC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334550496"/>
        <c:axId val="1"/>
      </c:barChart>
      <c:catAx>
        <c:axId val="334550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05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pl-PL"/>
                  <a:t>Koszt roczny [zł/rok]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%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3345504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l-PL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l-PL"/>
              <a:t>Koszt uzyskania 1 kWh ciepła [gr/kWh ciepła użytkowego]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53585022120390502"/>
          <c:y val="0.10332256553628941"/>
          <c:w val="0.44869997597834388"/>
          <c:h val="0.85694514584146075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F5BF-40F4-A396-8049E0A8897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5BF-40F4-A396-8049E0A8897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F5BF-40F4-A396-8049E0A8897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5BF-40F4-A396-8049E0A8897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F5BF-40F4-A396-8049E0A8897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5BF-40F4-A396-8049E0A8897B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F5BF-40F4-A396-8049E0A8897B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5BF-40F4-A396-8049E0A8897B}"/>
              </c:ext>
            </c:extLst>
          </c:dPt>
          <c:dPt>
            <c:idx val="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F5BF-40F4-A396-8049E0A8897B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5BF-40F4-A396-8049E0A8897B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5BF-40F4-A396-8049E0A8897B}"/>
              </c:ext>
            </c:extLst>
          </c:dPt>
          <c:dLbls>
            <c:dLbl>
              <c:idx val="0"/>
              <c:numFmt formatCode="#,##0.0" sourceLinked="0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F5BF-40F4-A396-8049E0A8897B}"/>
                </c:ext>
              </c:extLst>
            </c:dLbl>
            <c:dLbl>
              <c:idx val="1"/>
              <c:numFmt formatCode="#,##0.0" sourceLinked="0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5BF-40F4-A396-8049E0A8897B}"/>
                </c:ext>
              </c:extLst>
            </c:dLbl>
            <c:dLbl>
              <c:idx val="2"/>
              <c:numFmt formatCode="#,##0.0" sourceLinked="0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5BF-40F4-A396-8049E0A8897B}"/>
                </c:ext>
              </c:extLst>
            </c:dLbl>
            <c:dLbl>
              <c:idx val="3"/>
              <c:numFmt formatCode="#,##0.0" sourceLinked="0"/>
              <c:spPr>
                <a:noFill/>
                <a:ln w="25400">
                  <a:solidFill>
                    <a:srgbClr val="FF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5BF-40F4-A396-8049E0A8897B}"/>
                </c:ext>
              </c:extLst>
            </c:dLbl>
            <c:dLbl>
              <c:idx val="4"/>
              <c:numFmt formatCode="#,##0.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5BF-40F4-A396-8049E0A8897B}"/>
                </c:ext>
              </c:extLst>
            </c:dLbl>
            <c:numFmt formatCode="#,##0.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Dane!$A$24:$A$34</c:f>
              <c:strCache>
                <c:ptCount val="11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  <c:pt idx="4">
                  <c:v>Kocioł na pelet (sprawność średn. 85%)</c:v>
                </c:pt>
                <c:pt idx="5">
                  <c:v>Kocioł na kawałki drewna (sprawność średn. 80%)</c:v>
                </c:pt>
                <c:pt idx="6">
                  <c:v>Kocioł węglowy, retortowy (sprawność średn. 50%)</c:v>
                </c:pt>
                <c:pt idx="7">
                  <c:v>Kocioł węglowy, retortowy (sprawność średn. 80%)</c:v>
                </c:pt>
                <c:pt idx="8">
                  <c:v>Kocioł gazowy kondensacyjny GZ (sprawność średn. 87%)</c:v>
                </c:pt>
                <c:pt idx="9">
                  <c:v>Kocioł gazowy kondensacyjny propan (sprawność średn. 85%)</c:v>
                </c:pt>
                <c:pt idx="10">
                  <c:v>Kocioł  kondensacyjny olej (sprawność średn. 85%)</c:v>
                </c:pt>
              </c:strCache>
            </c:strRef>
          </c:cat>
          <c:val>
            <c:numRef>
              <c:f>Dane!$F$24:$F$34</c:f>
              <c:numCache>
                <c:formatCode>0</c:formatCode>
                <c:ptCount val="11"/>
                <c:pt idx="0">
                  <c:v>13.870967741935484</c:v>
                </c:pt>
                <c:pt idx="1">
                  <c:v>11.315789473684211</c:v>
                </c:pt>
                <c:pt idx="2">
                  <c:v>12.647058823529411</c:v>
                </c:pt>
                <c:pt idx="3">
                  <c:v>10.487804878048781</c:v>
                </c:pt>
                <c:pt idx="4">
                  <c:v>22.352941176470591</c:v>
                </c:pt>
                <c:pt idx="5">
                  <c:v>13.970588235294118</c:v>
                </c:pt>
                <c:pt idx="6">
                  <c:v>24.285714285714285</c:v>
                </c:pt>
                <c:pt idx="7">
                  <c:v>15.178571428571427</c:v>
                </c:pt>
                <c:pt idx="8">
                  <c:v>21.933987134872929</c:v>
                </c:pt>
                <c:pt idx="9">
                  <c:v>26.737967914438507</c:v>
                </c:pt>
                <c:pt idx="10">
                  <c:v>33.769063180827885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5BF-40F4-A396-8049E0A88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332941136"/>
        <c:axId val="1"/>
      </c:barChart>
      <c:catAx>
        <c:axId val="3329411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3329411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l-PL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000" b="1">
                <a:solidFill>
                  <a:sysClr val="windowText" lastClr="000000"/>
                </a:solidFill>
              </a:rPr>
              <a:t>Szacowana moc instalacji fotowoltaicznej</a:t>
            </a:r>
            <a:r>
              <a:rPr lang="pl-PL" sz="2000" b="1" baseline="0">
                <a:solidFill>
                  <a:sysClr val="windowText" lastClr="000000"/>
                </a:solidFill>
              </a:rPr>
              <a:t> w ramach systemu opustu w kWp (c.o. + c.w.u.)</a:t>
            </a:r>
            <a:endParaRPr lang="pl-PL" sz="2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57067272336447816"/>
          <c:y val="0.1438793017745324"/>
          <c:w val="0.40654498000306905"/>
          <c:h val="0.8076280269856914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solidFill>
                <a:srgbClr val="FFFF00"/>
              </a:solidFill>
            </a:ln>
            <a:effectLst/>
          </c:spPr>
          <c:invertIfNegative val="0"/>
          <c:dLbls>
            <c:spPr>
              <a:noFill/>
              <a:ln w="25400">
                <a:solidFill>
                  <a:srgbClr val="FF0000"/>
                </a:solidFill>
                <a:prstDash val="solid"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Dane!$A$65:$A$68</c:f>
              <c:strCache>
                <c:ptCount val="4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</c:strCache>
            </c:strRef>
          </c:cat>
          <c:val>
            <c:numRef>
              <c:f>Dane!$B$65:$B$68</c:f>
              <c:numCache>
                <c:formatCode>0.0</c:formatCode>
                <c:ptCount val="4"/>
                <c:pt idx="0">
                  <c:v>5.5273611111111105</c:v>
                </c:pt>
                <c:pt idx="1">
                  <c:v>4.4421567357512961</c:v>
                </c:pt>
                <c:pt idx="2">
                  <c:v>5.0243055555555554</c:v>
                </c:pt>
                <c:pt idx="3">
                  <c:v>4.0957341269841265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4D-425D-BF3D-4D86501ACB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34544920"/>
        <c:axId val="1"/>
      </c:barChart>
      <c:catAx>
        <c:axId val="334544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45449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Dane!$S$36</c:f>
          <c:strCache>
            <c:ptCount val="1"/>
            <c:pt idx="0">
              <c:v>Roczny koszt ogrzewania budynku o pow. 150 m2 przy 65 kWh/(m2*rok) oraz przygotowania c.w.u. (liczba osób: 4)</c:v>
            </c:pt>
          </c:strCache>
        </c:strRef>
      </c:tx>
      <c:overlay val="0"/>
      <c:spPr>
        <a:noFill/>
        <a:ln w="25400">
          <a:noFill/>
        </a:ln>
      </c:spPr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54851271231723242"/>
          <c:y val="0.12065158521851437"/>
          <c:w val="0.41950281326447697"/>
          <c:h val="0.79838403849154538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E722-499F-85BA-FB47535B033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22-499F-85BA-FB47535B033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E722-499F-85BA-FB47535B033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22-499F-85BA-FB47535B033A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4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E722-499F-85BA-FB47535B033A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722-499F-85BA-FB47535B033A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E722-499F-85BA-FB47535B033A}"/>
              </c:ext>
            </c:extLst>
          </c:dPt>
          <c:dPt>
            <c:idx val="7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22-499F-85BA-FB47535B033A}"/>
              </c:ext>
            </c:extLst>
          </c:dPt>
          <c:dPt>
            <c:idx val="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E722-499F-85BA-FB47535B033A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722-499F-85BA-FB47535B033A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E722-499F-85BA-FB47535B033A}"/>
              </c:ext>
            </c:extLst>
          </c:dPt>
          <c:dLbls>
            <c:dLbl>
              <c:idx val="0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E722-499F-85BA-FB47535B033A}"/>
                </c:ext>
              </c:extLst>
            </c:dLbl>
            <c:dLbl>
              <c:idx val="1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E722-499F-85BA-FB47535B033A}"/>
                </c:ext>
              </c:extLst>
            </c:dLbl>
            <c:dLbl>
              <c:idx val="2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722-499F-85BA-FB47535B033A}"/>
                </c:ext>
              </c:extLst>
            </c:dLbl>
            <c:dLbl>
              <c:idx val="3"/>
              <c:spPr>
                <a:noFill/>
                <a:ln w="25400"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722-499F-85BA-FB47535B033A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722-499F-85BA-FB47535B033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Dane!$A$38:$A$48</c:f>
              <c:strCache>
                <c:ptCount val="11"/>
                <c:pt idx="0">
                  <c:v>Pompa ciepła powietrze/woda (SCOP= 3,1 taryfa G12w, grzejniki)</c:v>
                </c:pt>
                <c:pt idx="1">
                  <c:v>Pompa ciepła powietrze/woda (SCOP = 3,8 taryfa G12w, o. podłogowe)</c:v>
                </c:pt>
                <c:pt idx="2">
                  <c:v>Pompa ciepła solanka/woda (SCOP =3,4 taryfa G12w, grzejniki)</c:v>
                </c:pt>
                <c:pt idx="3">
                  <c:v>Pompa ciepła solanka/woda (SCOP =4,1 taryfa G12w, o. podłogowe)</c:v>
                </c:pt>
                <c:pt idx="4">
                  <c:v>Kocioł na pelet (sprawność średn. 85%)</c:v>
                </c:pt>
                <c:pt idx="5">
                  <c:v>Kocioł na kawałki drewna (sprawność średn. 80%)</c:v>
                </c:pt>
                <c:pt idx="6">
                  <c:v>Kocioł węglowy, retortowy (sprawność średn. 50%)</c:v>
                </c:pt>
                <c:pt idx="7">
                  <c:v>Kocioł węglowy, retortowy (sprawność średn. 80%)</c:v>
                </c:pt>
                <c:pt idx="8">
                  <c:v>Kocioł gazowy kondensacyjny GZ (sprawność średn. 87%)</c:v>
                </c:pt>
                <c:pt idx="9">
                  <c:v>Kocioł gazowy kondensacyjny propan (sprawność średn. 85%)</c:v>
                </c:pt>
                <c:pt idx="10">
                  <c:v>Kocioł  kondensacyjny olej (sprawność średn. 85%)</c:v>
                </c:pt>
              </c:strCache>
            </c:strRef>
          </c:cat>
          <c:val>
            <c:numRef>
              <c:f>Dane!$B$38:$B$48</c:f>
              <c:numCache>
                <c:formatCode>0</c:formatCode>
                <c:ptCount val="11"/>
                <c:pt idx="0">
                  <c:v>1880</c:v>
                </c:pt>
                <c:pt idx="1">
                  <c:v>1540</c:v>
                </c:pt>
                <c:pt idx="2">
                  <c:v>1720</c:v>
                </c:pt>
                <c:pt idx="3">
                  <c:v>1420</c:v>
                </c:pt>
                <c:pt idx="4">
                  <c:v>3040</c:v>
                </c:pt>
                <c:pt idx="5">
                  <c:v>1900</c:v>
                </c:pt>
                <c:pt idx="6">
                  <c:v>3300</c:v>
                </c:pt>
                <c:pt idx="7">
                  <c:v>2060</c:v>
                </c:pt>
                <c:pt idx="8">
                  <c:v>2980</c:v>
                </c:pt>
                <c:pt idx="9">
                  <c:v>3630</c:v>
                </c:pt>
                <c:pt idx="10">
                  <c:v>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722-499F-85BA-FB47535B03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330059760"/>
        <c:axId val="1"/>
      </c:barChart>
      <c:catAx>
        <c:axId val="3300597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pl-PL" sz="1400"/>
                  <a:t>Koszt roczny [zł/rok]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3300597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l-PL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Dane!$S$37</c:f>
          <c:strCache>
            <c:ptCount val="1"/>
            <c:pt idx="0">
              <c:v>Wymagana moc PV dla ogrzewania budynku o pow. 150 m2 przy 9750 kWh/(m2*rok) oraz przygotowania c.w.u. (liczba osób: 4)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58824096793899416"/>
          <c:y val="0.10304425171458688"/>
          <c:w val="0.38897673542855304"/>
          <c:h val="0.8484630770456369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 w="19050">
                <a:solidFill>
                  <a:srgbClr val="FF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Dane!$A$79:$A$83</c:f>
              <c:strCache>
                <c:ptCount val="5"/>
                <c:pt idx="0">
                  <c:v>Pompa ciepła powietrze/woda (SCOP= 2,5, grzejniki)</c:v>
                </c:pt>
                <c:pt idx="1">
                  <c:v>Pompa ciepła powietrze/woda (SCOP = 3,0,  grzejniki)</c:v>
                </c:pt>
                <c:pt idx="2">
                  <c:v>Pompa ciepła solanka/woda (SCOP =3,5, o.płaszczyznowe)</c:v>
                </c:pt>
                <c:pt idx="3">
                  <c:v>Pompa ciepła solanka/woda (SCOP =4,0, o. płaszczyznowe)</c:v>
                </c:pt>
                <c:pt idx="4">
                  <c:v>Pompa ciepła solanka/woda (SCOP =4,5, o. płaszczyznowe)</c:v>
                </c:pt>
              </c:strCache>
            </c:strRef>
          </c:cat>
          <c:val>
            <c:numRef>
              <c:f>Dane!$B$79:$B$83</c:f>
              <c:numCache>
                <c:formatCode>0.0</c:formatCode>
                <c:ptCount val="5"/>
                <c:pt idx="0">
                  <c:v>6.7912499999999998</c:v>
                </c:pt>
                <c:pt idx="1">
                  <c:v>5.6593749999999998</c:v>
                </c:pt>
                <c:pt idx="2">
                  <c:v>4.8508928571428571</c:v>
                </c:pt>
                <c:pt idx="3">
                  <c:v>4.2445312499999996</c:v>
                </c:pt>
                <c:pt idx="4">
                  <c:v>3.7729166666666671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67-4F21-855B-B3C5FF3DF6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598860968"/>
        <c:axId val="598863264"/>
      </c:barChart>
      <c:catAx>
        <c:axId val="5988609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98863264"/>
        <c:crosses val="autoZero"/>
        <c:auto val="1"/>
        <c:lblAlgn val="ctr"/>
        <c:lblOffset val="100"/>
        <c:noMultiLvlLbl val="0"/>
      </c:catAx>
      <c:valAx>
        <c:axId val="598863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98860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000" b="1">
                <a:solidFill>
                  <a:sysClr val="windowText" lastClr="000000"/>
                </a:solidFill>
              </a:rPr>
              <a:t>Wymagana</a:t>
            </a:r>
            <a:r>
              <a:rPr lang="pl-PL" sz="2000" b="1" baseline="0">
                <a:solidFill>
                  <a:sysClr val="windowText" lastClr="000000"/>
                </a:solidFill>
              </a:rPr>
              <a:t> moc PV w kWp (100 m</a:t>
            </a:r>
            <a:r>
              <a:rPr lang="pl-PL" sz="2000" b="1" baseline="30000">
                <a:solidFill>
                  <a:sysClr val="windowText" lastClr="000000"/>
                </a:solidFill>
              </a:rPr>
              <a:t>2</a:t>
            </a:r>
            <a:r>
              <a:rPr lang="pl-PL" sz="2000" b="1" baseline="0">
                <a:solidFill>
                  <a:sysClr val="windowText" lastClr="000000"/>
                </a:solidFill>
              </a:rPr>
              <a:t>, 4 osoby, PC typu P/W)</a:t>
            </a:r>
            <a:endParaRPr lang="pl-PL" sz="2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Dane!$O$9:$O$12</c:f>
              <c:strCache>
                <c:ptCount val="4"/>
                <c:pt idx="0">
                  <c:v>EU 15</c:v>
                </c:pt>
                <c:pt idx="1">
                  <c:v>EU 40</c:v>
                </c:pt>
                <c:pt idx="2">
                  <c:v>WT 2021</c:v>
                </c:pt>
                <c:pt idx="3">
                  <c:v>WT 2017</c:v>
                </c:pt>
              </c:strCache>
            </c:strRef>
          </c:cat>
          <c:val>
            <c:numRef>
              <c:f>Dane!$P$9:$P$12</c:f>
              <c:numCache>
                <c:formatCode>0.0</c:formatCode>
                <c:ptCount val="4"/>
                <c:pt idx="0">
                  <c:v>2.2999999999999998</c:v>
                </c:pt>
                <c:pt idx="1">
                  <c:v>3</c:v>
                </c:pt>
                <c:pt idx="2">
                  <c:v>3.2</c:v>
                </c:pt>
                <c:pt idx="3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8B-47CF-A870-717E3477E8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34203208"/>
        <c:axId val="1"/>
      </c:barChart>
      <c:catAx>
        <c:axId val="3342032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4203208"/>
        <c:crosses val="autoZero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000" b="1">
                <a:solidFill>
                  <a:sysClr val="windowText" lastClr="000000"/>
                </a:solidFill>
              </a:rPr>
              <a:t>Wymagana</a:t>
            </a:r>
            <a:r>
              <a:rPr lang="pl-PL" sz="2000" b="1" baseline="0">
                <a:solidFill>
                  <a:sysClr val="windowText" lastClr="000000"/>
                </a:solidFill>
              </a:rPr>
              <a:t> moc PV w kWp (150 m</a:t>
            </a:r>
            <a:r>
              <a:rPr lang="pl-PL" sz="2000" b="1" baseline="30000">
                <a:solidFill>
                  <a:sysClr val="windowText" lastClr="000000"/>
                </a:solidFill>
              </a:rPr>
              <a:t>2</a:t>
            </a:r>
            <a:r>
              <a:rPr lang="pl-PL" sz="2000" b="1" baseline="0">
                <a:solidFill>
                  <a:sysClr val="windowText" lastClr="000000"/>
                </a:solidFill>
              </a:rPr>
              <a:t>, 4 osoby, PC typu P/W)</a:t>
            </a:r>
            <a:endParaRPr lang="pl-PL" sz="2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Dane!$O$9:$O$12</c:f>
              <c:strCache>
                <c:ptCount val="4"/>
                <c:pt idx="0">
                  <c:v>EU 15</c:v>
                </c:pt>
                <c:pt idx="1">
                  <c:v>EU 40</c:v>
                </c:pt>
                <c:pt idx="2">
                  <c:v>WT 2021</c:v>
                </c:pt>
                <c:pt idx="3">
                  <c:v>WT 2017</c:v>
                </c:pt>
              </c:strCache>
            </c:strRef>
          </c:cat>
          <c:val>
            <c:numRef>
              <c:f>Dane!$Q$9:$Q$12</c:f>
              <c:numCache>
                <c:formatCode>0.0</c:formatCode>
                <c:ptCount val="4"/>
                <c:pt idx="0">
                  <c:v>2.5</c:v>
                </c:pt>
                <c:pt idx="1">
                  <c:v>3.5</c:v>
                </c:pt>
                <c:pt idx="2">
                  <c:v>3.9</c:v>
                </c:pt>
                <c:pt idx="3">
                  <c:v>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23-4B33-B793-0B2008AC22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34202224"/>
        <c:axId val="1"/>
      </c:barChart>
      <c:catAx>
        <c:axId val="334202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4202224"/>
        <c:crosses val="autoZero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000" b="1">
                <a:solidFill>
                  <a:sysClr val="windowText" lastClr="000000"/>
                </a:solidFill>
              </a:rPr>
              <a:t>Wymagana</a:t>
            </a:r>
            <a:r>
              <a:rPr lang="pl-PL" sz="2000" b="1" baseline="0">
                <a:solidFill>
                  <a:sysClr val="windowText" lastClr="000000"/>
                </a:solidFill>
              </a:rPr>
              <a:t> moc PV w kWp (200 m</a:t>
            </a:r>
            <a:r>
              <a:rPr lang="pl-PL" sz="2000" b="1" baseline="30000">
                <a:solidFill>
                  <a:sysClr val="windowText" lastClr="000000"/>
                </a:solidFill>
              </a:rPr>
              <a:t>2</a:t>
            </a:r>
            <a:r>
              <a:rPr lang="pl-PL" sz="2000" b="1" i="0" u="none" strike="noStrike" baseline="0">
                <a:effectLst/>
              </a:rPr>
              <a:t>, </a:t>
            </a:r>
            <a:r>
              <a:rPr lang="pl-PL" sz="2000" b="1" baseline="0">
                <a:solidFill>
                  <a:sysClr val="windowText" lastClr="000000"/>
                </a:solidFill>
              </a:rPr>
              <a:t> 4 osoby, PC typu P/W)</a:t>
            </a:r>
            <a:endParaRPr lang="pl-PL" sz="2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Dane!$O$9:$O$12</c:f>
              <c:strCache>
                <c:ptCount val="4"/>
                <c:pt idx="0">
                  <c:v>EU 15</c:v>
                </c:pt>
                <c:pt idx="1">
                  <c:v>EU 40</c:v>
                </c:pt>
                <c:pt idx="2">
                  <c:v>WT 2021</c:v>
                </c:pt>
                <c:pt idx="3">
                  <c:v>WT 2017</c:v>
                </c:pt>
              </c:strCache>
            </c:strRef>
          </c:cat>
          <c:val>
            <c:numRef>
              <c:f>Dane!$R$9:$R$12</c:f>
              <c:numCache>
                <c:formatCode>0.0</c:formatCode>
                <c:ptCount val="4"/>
                <c:pt idx="0">
                  <c:v>2.7</c:v>
                </c:pt>
                <c:pt idx="1">
                  <c:v>4</c:v>
                </c:pt>
                <c:pt idx="2">
                  <c:v>4.5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F7-4FD1-BF72-E032335EC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34197632"/>
        <c:axId val="1"/>
      </c:barChart>
      <c:catAx>
        <c:axId val="3341976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4197632"/>
        <c:crosses val="autoZero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000" b="1">
                <a:solidFill>
                  <a:sysClr val="windowText" lastClr="000000"/>
                </a:solidFill>
              </a:rPr>
              <a:t>Wymagana moc PV (PC typu</a:t>
            </a:r>
            <a:r>
              <a:rPr lang="pl-PL" sz="2000" b="1" baseline="0">
                <a:solidFill>
                  <a:sysClr val="windowText" lastClr="000000"/>
                </a:solidFill>
              </a:rPr>
              <a:t> </a:t>
            </a:r>
            <a:r>
              <a:rPr lang="pl-PL" sz="2000" b="1">
                <a:solidFill>
                  <a:sysClr val="windowText" lastClr="000000"/>
                </a:solidFill>
              </a:rPr>
              <a:t>P/W, ogrzewanie i c.w.u.)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79152039366528"/>
          <c:y val="0.10280394290789457"/>
          <c:w val="0.85957350991867787"/>
          <c:h val="0.6653398657825936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Dane!$O$9</c:f>
              <c:strCache>
                <c:ptCount val="1"/>
                <c:pt idx="0">
                  <c:v>EU 15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Dane!$P$8:$R$8</c:f>
              <c:numCache>
                <c:formatCode>General</c:formatCode>
                <c:ptCount val="3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</c:numCache>
            </c:numRef>
          </c:xVal>
          <c:yVal>
            <c:numRef>
              <c:f>Dane!$P$9:$R$9</c:f>
              <c:numCache>
                <c:formatCode>0.0</c:formatCode>
                <c:ptCount val="3"/>
                <c:pt idx="0">
                  <c:v>2.2999999999999998</c:v>
                </c:pt>
                <c:pt idx="1">
                  <c:v>2.5</c:v>
                </c:pt>
                <c:pt idx="2">
                  <c:v>2.7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0C-4475-9FB3-31E4F89EF894}"/>
            </c:ext>
          </c:extLst>
        </c:ser>
        <c:ser>
          <c:idx val="1"/>
          <c:order val="1"/>
          <c:tx>
            <c:strRef>
              <c:f>Dane!$O$10</c:f>
              <c:strCache>
                <c:ptCount val="1"/>
                <c:pt idx="0">
                  <c:v>EU 40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8128586616502917E-3"/>
                  <c:y val="-1.62315431314805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80C-4475-9FB3-31E4F89EF894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Dane!$P$8:$R$8</c:f>
              <c:numCache>
                <c:formatCode>General</c:formatCode>
                <c:ptCount val="3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</c:numCache>
            </c:numRef>
          </c:xVal>
          <c:yVal>
            <c:numRef>
              <c:f>Dane!$P$10:$R$10</c:f>
              <c:numCache>
                <c:formatCode>0.0</c:formatCode>
                <c:ptCount val="3"/>
                <c:pt idx="0">
                  <c:v>3</c:v>
                </c:pt>
                <c:pt idx="1">
                  <c:v>3.5</c:v>
                </c:pt>
                <c:pt idx="2">
                  <c:v>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80C-4475-9FB3-31E4F89EF894}"/>
            </c:ext>
          </c:extLst>
        </c:ser>
        <c:ser>
          <c:idx val="2"/>
          <c:order val="2"/>
          <c:tx>
            <c:strRef>
              <c:f>Dane!$O$11</c:f>
              <c:strCache>
                <c:ptCount val="1"/>
                <c:pt idx="0">
                  <c:v>WT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549991790037439E-2"/>
                  <c:y val="-2.87736876999418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80C-4475-9FB3-31E4F89EF894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Dane!$P$8:$R$8</c:f>
              <c:numCache>
                <c:formatCode>General</c:formatCode>
                <c:ptCount val="3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</c:numCache>
            </c:numRef>
          </c:xVal>
          <c:yVal>
            <c:numRef>
              <c:f>Dane!$P$11:$R$11</c:f>
              <c:numCache>
                <c:formatCode>0.0</c:formatCode>
                <c:ptCount val="3"/>
                <c:pt idx="0">
                  <c:v>3.2</c:v>
                </c:pt>
                <c:pt idx="1">
                  <c:v>3.9</c:v>
                </c:pt>
                <c:pt idx="2">
                  <c:v>4.5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80C-4475-9FB3-31E4F89EF894}"/>
            </c:ext>
          </c:extLst>
        </c:ser>
        <c:ser>
          <c:idx val="3"/>
          <c:order val="3"/>
          <c:tx>
            <c:strRef>
              <c:f>Dane!$O$12</c:f>
              <c:strCache>
                <c:ptCount val="1"/>
                <c:pt idx="0">
                  <c:v>WT 2017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1.594044610366575E-2"/>
                  <c:y val="-4.1315832268403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80C-4475-9FB3-31E4F89EF894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Dane!$P$8:$R$8</c:f>
              <c:numCache>
                <c:formatCode>General</c:formatCode>
                <c:ptCount val="3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</c:numCache>
            </c:numRef>
          </c:xVal>
          <c:yVal>
            <c:numRef>
              <c:f>Dane!$P$12:$R$12</c:f>
              <c:numCache>
                <c:formatCode>0.0</c:formatCode>
                <c:ptCount val="3"/>
                <c:pt idx="0">
                  <c:v>3.5</c:v>
                </c:pt>
                <c:pt idx="1">
                  <c:v>4.2</c:v>
                </c:pt>
                <c:pt idx="2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80C-4475-9FB3-31E4F89EF8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4202880"/>
        <c:axId val="1"/>
      </c:scatterChart>
      <c:valAx>
        <c:axId val="334202880"/>
        <c:scaling>
          <c:orientation val="minMax"/>
          <c:max val="2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2000" b="1">
                    <a:solidFill>
                      <a:sysClr val="windowText" lastClr="000000"/>
                    </a:solidFill>
                  </a:rPr>
                  <a:t>Powierzchnia ogrzewana budynku w m</a:t>
                </a:r>
                <a:r>
                  <a:rPr lang="pl-PL" sz="2000" b="1" baseline="30000">
                    <a:solidFill>
                      <a:sysClr val="windowText" lastClr="000000"/>
                    </a:solidFill>
                  </a:rPr>
                  <a:t>2</a:t>
                </a:r>
              </a:p>
            </c:rich>
          </c:tx>
          <c:layout>
            <c:manualLayout>
              <c:xMode val="edge"/>
              <c:yMode val="edge"/>
              <c:x val="0.33174540682414699"/>
              <c:y val="0.8479677728489710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1"/>
        <c:crosses val="autoZero"/>
        <c:crossBetween val="midCat"/>
      </c:valAx>
      <c:valAx>
        <c:axId val="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2000" b="1">
                    <a:solidFill>
                      <a:sysClr val="windowText" lastClr="000000"/>
                    </a:solidFill>
                  </a:rPr>
                  <a:t>Moc PV w kWp</a:t>
                </a:r>
              </a:p>
            </c:rich>
          </c:tx>
          <c:layout>
            <c:manualLayout>
              <c:xMode val="edge"/>
              <c:yMode val="edge"/>
              <c:x val="8.1938169614044157E-3"/>
              <c:y val="0.2945627797152708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34202880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93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 codeName="Wykres3"/>
  <sheetViews>
    <sheetView zoomScale="96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 codeName="Wykres4"/>
  <sheetViews>
    <sheetView zoomScale="99"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 codeName="Wykres2"/>
  <sheetViews>
    <sheetView zoomScale="90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93" workbookViewId="0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93" workbookViewId="0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0F063D9-797B-486C-A442-9F1F588FA217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0" workbookViewId="0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0" workbookViewId="0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0" workbookViewId="0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3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Lines="15" dropStyle="combo" dx="48" fmlaLink="$H$29" fmlaRange="$H$31:$H$34" sel="2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122872</xdr:colOff>
      <xdr:row>0</xdr:row>
      <xdr:rowOff>242887</xdr:rowOff>
    </xdr:from>
    <xdr:to>
      <xdr:col>13</xdr:col>
      <xdr:colOff>637222</xdr:colOff>
      <xdr:row>19</xdr:row>
      <xdr:rowOff>163829</xdr:rowOff>
    </xdr:to>
    <xdr:graphicFrame macro="">
      <xdr:nvGraphicFramePr>
        <xdr:cNvPr id="4365" name="Wykres 4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</xdr:row>
          <xdr:rowOff>209550</xdr:rowOff>
        </xdr:from>
        <xdr:to>
          <xdr:col>3</xdr:col>
          <xdr:colOff>11430</xdr:colOff>
          <xdr:row>4</xdr:row>
          <xdr:rowOff>0</xdr:rowOff>
        </xdr:to>
        <xdr:sp macro="" textlink="">
          <xdr:nvSpPr>
            <xdr:cNvPr id="4287" name="Drop Down 191" hidden="1">
              <a:extLst>
                <a:ext uri="{63B3BB69-23CF-44E3-9099-C40C66FF867C}">
                  <a14:compatExt spid="_x0000_s4287"/>
                </a:ext>
                <a:ext uri="{FF2B5EF4-FFF2-40B4-BE49-F238E27FC236}">
                  <a16:creationId xmlns:a16="http://schemas.microsoft.com/office/drawing/2014/main" id="{00000000-0008-0000-0000-0000B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61913</xdr:colOff>
      <xdr:row>20</xdr:row>
      <xdr:rowOff>104774</xdr:rowOff>
    </xdr:from>
    <xdr:to>
      <xdr:col>13</xdr:col>
      <xdr:colOff>614363</xdr:colOff>
      <xdr:row>35</xdr:row>
      <xdr:rowOff>52387</xdr:rowOff>
    </xdr:to>
    <xdr:graphicFrame macro="">
      <xdr:nvGraphicFramePr>
        <xdr:cNvPr id="4366" name="Wykres 3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478210</xdr:colOff>
      <xdr:row>7</xdr:row>
      <xdr:rowOff>5940</xdr:rowOff>
    </xdr:from>
    <xdr:to>
      <xdr:col>16</xdr:col>
      <xdr:colOff>86789</xdr:colOff>
      <xdr:row>10</xdr:row>
      <xdr:rowOff>42191</xdr:rowOff>
    </xdr:to>
    <xdr:pic>
      <xdr:nvPicPr>
        <xdr:cNvPr id="5" name="Picture 6" descr="logo plu text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9035" y="1477553"/>
          <a:ext cx="1256404" cy="707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447674</xdr:colOff>
      <xdr:row>1</xdr:row>
      <xdr:rowOff>119254</xdr:rowOff>
    </xdr:from>
    <xdr:to>
      <xdr:col>15</xdr:col>
      <xdr:colOff>897952</xdr:colOff>
      <xdr:row>6</xdr:row>
      <xdr:rowOff>68707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499" y="366904"/>
          <a:ext cx="1107503" cy="9495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5516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76156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6933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5516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5516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7939" cy="6072909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5516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Z86"/>
  <sheetViews>
    <sheetView showGridLines="0" showRowColHeaders="0" tabSelected="1" zoomScale="80" zoomScaleNormal="80" workbookViewId="0">
      <selection activeCell="A3" sqref="A3"/>
    </sheetView>
  </sheetViews>
  <sheetFormatPr defaultRowHeight="14.4" x14ac:dyDescent="0.55000000000000004"/>
  <cols>
    <col min="1" max="1" width="63.68359375" customWidth="1"/>
    <col min="2" max="2" width="9.5234375" customWidth="1"/>
    <col min="3" max="3" width="11.5234375" customWidth="1"/>
    <col min="4" max="4" width="10.1015625" customWidth="1"/>
    <col min="5" max="6" width="13.1015625" customWidth="1"/>
    <col min="7" max="7" width="11.15625" bestFit="1" customWidth="1"/>
    <col min="8" max="8" width="11.3125" customWidth="1"/>
    <col min="15" max="15" width="9.1015625" bestFit="1" customWidth="1"/>
    <col min="16" max="16" width="13.68359375" customWidth="1"/>
    <col min="17" max="18" width="8.89453125" bestFit="1" customWidth="1"/>
  </cols>
  <sheetData>
    <row r="1" spans="1:25" ht="19.5" thickBot="1" x14ac:dyDescent="0.75">
      <c r="A1" s="41" t="s">
        <v>55</v>
      </c>
      <c r="B1" s="41"/>
      <c r="C1" s="41"/>
    </row>
    <row r="2" spans="1:25" ht="15" thickTop="1" thickBot="1" x14ac:dyDescent="0.6">
      <c r="O2" s="54"/>
      <c r="P2" s="54"/>
      <c r="Q2" s="54"/>
      <c r="R2" s="54"/>
      <c r="S2" s="54"/>
      <c r="T2" s="54"/>
      <c r="U2" s="54"/>
    </row>
    <row r="3" spans="1:25" ht="16.5" x14ac:dyDescent="0.55000000000000004">
      <c r="A3" s="13" t="s">
        <v>2</v>
      </c>
      <c r="B3" s="14">
        <v>150</v>
      </c>
      <c r="C3" s="15" t="s">
        <v>3</v>
      </c>
      <c r="D3" s="20"/>
      <c r="E3" s="20"/>
      <c r="F3" s="20"/>
      <c r="G3" s="20"/>
      <c r="H3" s="20"/>
      <c r="I3" s="21"/>
      <c r="J3" s="21"/>
      <c r="K3" s="21"/>
      <c r="L3" s="21"/>
      <c r="M3" s="21"/>
      <c r="N3" s="21"/>
      <c r="O3" s="59"/>
      <c r="P3" s="59"/>
      <c r="Q3" s="59"/>
      <c r="R3" s="59"/>
      <c r="S3" s="59"/>
      <c r="T3" s="54"/>
      <c r="U3" s="54"/>
    </row>
    <row r="4" spans="1:25" x14ac:dyDescent="0.55000000000000004">
      <c r="A4" s="37" t="s">
        <v>39</v>
      </c>
      <c r="B4" s="19"/>
      <c r="C4" s="38"/>
      <c r="D4" s="20"/>
      <c r="E4" s="20"/>
      <c r="F4" s="20"/>
      <c r="G4" s="20"/>
      <c r="H4" s="20"/>
      <c r="I4" s="21"/>
      <c r="J4" s="21"/>
      <c r="K4" s="21"/>
      <c r="L4" s="21"/>
      <c r="M4" s="21"/>
      <c r="N4" s="21"/>
      <c r="O4" s="59"/>
      <c r="P4" s="59"/>
      <c r="Q4" s="59"/>
      <c r="R4" s="59"/>
      <c r="S4" s="59"/>
      <c r="T4" s="54"/>
      <c r="U4" s="54"/>
    </row>
    <row r="5" spans="1:25" ht="16.5" x14ac:dyDescent="0.55000000000000004">
      <c r="A5" s="3" t="s">
        <v>4</v>
      </c>
      <c r="B5" s="12">
        <v>65</v>
      </c>
      <c r="C5" s="29" t="s">
        <v>5</v>
      </c>
      <c r="D5" s="20"/>
      <c r="E5" s="20"/>
      <c r="F5" s="20"/>
      <c r="G5" s="20"/>
      <c r="H5" s="20"/>
      <c r="I5" s="21"/>
      <c r="J5" s="21"/>
      <c r="K5" s="21"/>
      <c r="L5" s="21"/>
      <c r="M5" s="21"/>
      <c r="N5" s="21"/>
      <c r="O5" s="59"/>
      <c r="P5" s="59"/>
      <c r="Q5" s="59"/>
      <c r="R5" s="59"/>
      <c r="S5" s="59"/>
      <c r="T5" s="54"/>
      <c r="U5" s="54"/>
    </row>
    <row r="6" spans="1:25" ht="16.5" x14ac:dyDescent="0.55000000000000004">
      <c r="A6" s="3" t="s">
        <v>38</v>
      </c>
      <c r="B6" s="12">
        <f>B3*B5</f>
        <v>9750</v>
      </c>
      <c r="C6" s="16" t="s">
        <v>5</v>
      </c>
      <c r="D6" s="20"/>
      <c r="E6" s="20"/>
      <c r="F6" s="20"/>
      <c r="G6" s="20"/>
      <c r="H6" s="20"/>
      <c r="I6" s="21"/>
      <c r="J6" s="21"/>
      <c r="K6" s="21"/>
      <c r="L6" s="21"/>
      <c r="M6" s="21"/>
      <c r="N6" s="21"/>
      <c r="O6" s="59"/>
      <c r="P6" s="59"/>
      <c r="Q6" s="59"/>
      <c r="R6" s="59"/>
      <c r="S6" s="59"/>
      <c r="T6" s="54"/>
      <c r="U6" s="54"/>
    </row>
    <row r="7" spans="1:25" ht="17.7" x14ac:dyDescent="0.75">
      <c r="A7" s="3" t="s">
        <v>44</v>
      </c>
      <c r="B7" s="35">
        <v>1.93</v>
      </c>
      <c r="C7" s="36" t="str">
        <f>F7</f>
        <v>SCOP =4,83</v>
      </c>
      <c r="D7" s="9" t="s">
        <v>48</v>
      </c>
      <c r="E7" s="39">
        <f>ROUND(B7*2.5,2)</f>
        <v>4.83</v>
      </c>
      <c r="F7" s="9" t="str">
        <f>_xlfn.CONCAT(D7,E7)</f>
        <v>SCOP =4,83</v>
      </c>
      <c r="G7" s="20"/>
      <c r="H7" s="20"/>
      <c r="I7" s="21"/>
      <c r="J7" s="21"/>
      <c r="K7" s="21"/>
      <c r="L7" s="21"/>
      <c r="M7" s="21"/>
      <c r="N7" s="21"/>
      <c r="O7" s="59"/>
      <c r="P7" s="59"/>
      <c r="Q7" s="59"/>
      <c r="R7" s="59"/>
      <c r="S7" s="59"/>
      <c r="T7" s="54"/>
      <c r="U7" s="54"/>
    </row>
    <row r="8" spans="1:25" ht="17.7" x14ac:dyDescent="0.75">
      <c r="A8" s="3" t="s">
        <v>45</v>
      </c>
      <c r="B8" s="35">
        <v>1.35</v>
      </c>
      <c r="C8" s="36" t="str">
        <f>F8</f>
        <v>SCOP =3,38</v>
      </c>
      <c r="D8" s="9" t="s">
        <v>48</v>
      </c>
      <c r="E8" s="39">
        <f>ROUND(B8*2.5,2)</f>
        <v>3.38</v>
      </c>
      <c r="F8" s="9" t="str">
        <f>_xlfn.CONCAT(D8,E8)</f>
        <v>SCOP =3,38</v>
      </c>
      <c r="G8" s="20"/>
      <c r="H8" s="20"/>
      <c r="I8" s="21"/>
      <c r="J8" s="21"/>
      <c r="K8" s="21"/>
      <c r="L8" s="21"/>
      <c r="M8" s="21"/>
      <c r="N8" s="21"/>
      <c r="O8" s="51"/>
      <c r="P8" s="51">
        <v>100</v>
      </c>
      <c r="Q8" s="51">
        <v>150</v>
      </c>
      <c r="R8" s="51">
        <v>200</v>
      </c>
      <c r="S8" s="51"/>
      <c r="T8" s="51"/>
      <c r="U8" s="51"/>
      <c r="V8" s="9"/>
      <c r="W8" s="9"/>
      <c r="X8" s="9"/>
      <c r="Y8" s="9"/>
    </row>
    <row r="9" spans="1:25" ht="17.7" x14ac:dyDescent="0.75">
      <c r="A9" s="3" t="s">
        <v>46</v>
      </c>
      <c r="B9" s="35">
        <v>2.1</v>
      </c>
      <c r="C9" s="36" t="str">
        <f>F9</f>
        <v>SCOP =5,25</v>
      </c>
      <c r="D9" s="9" t="s">
        <v>48</v>
      </c>
      <c r="E9" s="39">
        <f>ROUND(B9*2.5,2)</f>
        <v>5.25</v>
      </c>
      <c r="F9" s="9" t="str">
        <f>_xlfn.CONCAT(D9,E9)</f>
        <v>SCOP =5,25</v>
      </c>
      <c r="G9" s="20"/>
      <c r="H9" s="20"/>
      <c r="I9" s="21"/>
      <c r="J9" s="21"/>
      <c r="K9" s="21"/>
      <c r="L9" s="21"/>
      <c r="M9" s="21"/>
      <c r="N9" s="21"/>
      <c r="O9" s="52" t="s">
        <v>56</v>
      </c>
      <c r="P9" s="53">
        <v>2.2999999999999998</v>
      </c>
      <c r="Q9" s="53">
        <v>2.5</v>
      </c>
      <c r="R9" s="53">
        <v>2.7</v>
      </c>
      <c r="S9" s="51"/>
      <c r="T9" s="51"/>
      <c r="U9" s="51"/>
      <c r="V9" s="9"/>
      <c r="W9" s="9"/>
      <c r="X9" s="9"/>
      <c r="Y9" s="9"/>
    </row>
    <row r="10" spans="1:25" ht="17.7" x14ac:dyDescent="0.75">
      <c r="A10" s="3" t="s">
        <v>47</v>
      </c>
      <c r="B10" s="35">
        <v>1.5</v>
      </c>
      <c r="C10" s="36" t="str">
        <f>F10</f>
        <v>SCOP =3,75</v>
      </c>
      <c r="D10" s="9" t="s">
        <v>48</v>
      </c>
      <c r="E10" s="39">
        <f>ROUND(B10*2.5,2)</f>
        <v>3.75</v>
      </c>
      <c r="F10" s="9" t="str">
        <f>_xlfn.CONCAT(D10,E10)</f>
        <v>SCOP =3,75</v>
      </c>
      <c r="G10" s="20"/>
      <c r="H10" s="20"/>
      <c r="I10" s="21"/>
      <c r="J10" s="21"/>
      <c r="K10" s="21"/>
      <c r="L10" s="21"/>
      <c r="M10" s="21"/>
      <c r="N10" s="21"/>
      <c r="O10" s="52" t="s">
        <v>57</v>
      </c>
      <c r="P10" s="53">
        <v>3</v>
      </c>
      <c r="Q10" s="53">
        <v>3.5</v>
      </c>
      <c r="R10" s="53">
        <v>4</v>
      </c>
      <c r="S10" s="51"/>
      <c r="T10" s="51"/>
      <c r="U10" s="51"/>
      <c r="V10" s="9"/>
      <c r="W10" s="9"/>
      <c r="X10" s="9"/>
      <c r="Y10" s="9"/>
    </row>
    <row r="11" spans="1:25" x14ac:dyDescent="0.55000000000000004">
      <c r="A11" s="3" t="s">
        <v>1</v>
      </c>
      <c r="B11" s="11">
        <v>4</v>
      </c>
      <c r="C11" s="16" t="s">
        <v>6</v>
      </c>
      <c r="D11" s="9"/>
      <c r="E11" s="9"/>
      <c r="F11" s="9"/>
      <c r="G11" s="20"/>
      <c r="H11" s="20"/>
      <c r="I11" s="21"/>
      <c r="J11" s="21"/>
      <c r="K11" s="21"/>
      <c r="L11" s="21"/>
      <c r="M11" s="21"/>
      <c r="N11" s="21"/>
      <c r="O11" s="52" t="s">
        <v>58</v>
      </c>
      <c r="P11" s="53">
        <v>3.2</v>
      </c>
      <c r="Q11" s="53">
        <v>3.9</v>
      </c>
      <c r="R11" s="53">
        <v>4.5</v>
      </c>
      <c r="S11" s="51"/>
      <c r="T11" s="51"/>
      <c r="U11" s="51"/>
      <c r="V11" s="9"/>
      <c r="W11" s="9"/>
      <c r="X11" s="9"/>
      <c r="Y11" s="9"/>
    </row>
    <row r="12" spans="1:25" x14ac:dyDescent="0.55000000000000004">
      <c r="A12" s="3" t="s">
        <v>41</v>
      </c>
      <c r="B12" s="11">
        <v>50</v>
      </c>
      <c r="C12" s="16" t="s">
        <v>7</v>
      </c>
      <c r="D12" s="9"/>
      <c r="E12" s="9"/>
      <c r="F12" s="9"/>
      <c r="G12" s="20"/>
      <c r="H12" s="20"/>
      <c r="I12" s="21"/>
      <c r="J12" s="21"/>
      <c r="K12" s="21"/>
      <c r="L12" s="21"/>
      <c r="M12" s="21"/>
      <c r="N12" s="21"/>
      <c r="O12" s="52" t="s">
        <v>59</v>
      </c>
      <c r="P12" s="53">
        <v>3.5</v>
      </c>
      <c r="Q12" s="53">
        <v>4.2</v>
      </c>
      <c r="R12" s="53">
        <v>5</v>
      </c>
      <c r="S12" s="51"/>
      <c r="T12" s="51"/>
      <c r="U12" s="51"/>
      <c r="V12" s="9"/>
      <c r="W12" s="9"/>
      <c r="X12" s="9"/>
      <c r="Y12" s="9"/>
    </row>
    <row r="13" spans="1:25" ht="16.5" x14ac:dyDescent="0.55000000000000004">
      <c r="A13" s="3" t="s">
        <v>8</v>
      </c>
      <c r="B13" s="60">
        <v>55</v>
      </c>
      <c r="C13" s="16" t="s">
        <v>13</v>
      </c>
      <c r="D13" s="9"/>
      <c r="E13" s="9"/>
      <c r="F13" s="9"/>
      <c r="G13" s="20"/>
      <c r="H13" s="20"/>
      <c r="I13" s="21"/>
      <c r="J13" s="21"/>
      <c r="K13" s="21"/>
      <c r="L13" s="21"/>
      <c r="M13" s="21"/>
      <c r="N13" s="21"/>
      <c r="O13" s="52"/>
      <c r="P13" s="51"/>
      <c r="Q13" s="51"/>
      <c r="R13" s="51"/>
      <c r="S13" s="51"/>
      <c r="T13" s="51"/>
      <c r="U13" s="51"/>
      <c r="V13" s="9"/>
      <c r="W13" s="9"/>
      <c r="X13" s="9"/>
      <c r="Y13" s="9"/>
    </row>
    <row r="14" spans="1:25" ht="16.5" x14ac:dyDescent="0.55000000000000004">
      <c r="A14" s="3" t="s">
        <v>9</v>
      </c>
      <c r="B14" s="60">
        <v>10</v>
      </c>
      <c r="C14" s="16" t="s">
        <v>13</v>
      </c>
      <c r="D14" s="9"/>
      <c r="E14" s="9"/>
      <c r="F14" s="9"/>
      <c r="G14" s="20"/>
      <c r="H14" s="20"/>
      <c r="I14" s="21"/>
      <c r="J14" s="21"/>
      <c r="K14" s="21"/>
      <c r="L14" s="21"/>
      <c r="M14" s="21"/>
      <c r="N14" s="21"/>
      <c r="O14" s="51"/>
      <c r="P14" s="51"/>
      <c r="Q14" s="51"/>
      <c r="R14" s="51"/>
      <c r="S14" s="51"/>
      <c r="T14" s="51"/>
      <c r="U14" s="51"/>
      <c r="V14" s="9"/>
      <c r="W14" s="9"/>
      <c r="X14" s="9"/>
      <c r="Y14" s="9"/>
    </row>
    <row r="15" spans="1:25" ht="16.8" x14ac:dyDescent="0.75">
      <c r="A15" s="3" t="s">
        <v>50</v>
      </c>
      <c r="B15" s="35">
        <v>1</v>
      </c>
      <c r="C15" s="36" t="str">
        <f>F15</f>
        <v>SCOP =2,5</v>
      </c>
      <c r="D15" s="9" t="s">
        <v>48</v>
      </c>
      <c r="E15" s="39">
        <f>ROUND(B15*2.5,2)</f>
        <v>2.5</v>
      </c>
      <c r="F15" s="9" t="str">
        <f>_xlfn.CONCAT(D15,E15)</f>
        <v>SCOP =2,5</v>
      </c>
      <c r="G15" s="20"/>
      <c r="H15" s="20"/>
      <c r="I15" s="21"/>
      <c r="J15" s="21"/>
      <c r="K15" s="21"/>
      <c r="L15" s="21"/>
      <c r="M15" s="21"/>
      <c r="N15" s="21"/>
      <c r="O15" s="51"/>
      <c r="P15" s="51"/>
      <c r="Q15" s="51"/>
      <c r="R15" s="51"/>
      <c r="S15" s="51"/>
      <c r="T15" s="51"/>
      <c r="U15" s="51"/>
      <c r="V15" s="9"/>
      <c r="W15" s="9"/>
      <c r="X15" s="9"/>
      <c r="Y15" s="9"/>
    </row>
    <row r="16" spans="1:25" ht="16.8" x14ac:dyDescent="0.75">
      <c r="A16" s="3" t="s">
        <v>49</v>
      </c>
      <c r="B16" s="35">
        <v>1.08</v>
      </c>
      <c r="C16" s="36" t="str">
        <f>F16</f>
        <v>SCOP =2,7</v>
      </c>
      <c r="D16" s="9" t="s">
        <v>48</v>
      </c>
      <c r="E16" s="39">
        <f>ROUND(B16*2.5,2)</f>
        <v>2.7</v>
      </c>
      <c r="F16" s="9" t="str">
        <f>_xlfn.CONCAT(D16,E16)</f>
        <v>SCOP =2,7</v>
      </c>
      <c r="G16" s="20"/>
      <c r="H16" s="20"/>
      <c r="I16" s="21"/>
      <c r="J16" s="21"/>
      <c r="K16" s="21"/>
      <c r="L16" s="21"/>
      <c r="M16" s="21"/>
      <c r="N16" s="21"/>
      <c r="O16" s="51"/>
      <c r="P16" s="51"/>
      <c r="Q16" s="51"/>
      <c r="R16" s="51"/>
      <c r="S16" s="51"/>
      <c r="T16" s="51"/>
      <c r="U16" s="51"/>
      <c r="V16" s="9"/>
      <c r="W16" s="9"/>
      <c r="X16" s="9"/>
      <c r="Y16" s="9"/>
    </row>
    <row r="17" spans="1:26" x14ac:dyDescent="0.55000000000000004">
      <c r="A17" s="3" t="s">
        <v>51</v>
      </c>
      <c r="B17" s="12">
        <f>ROUND(B11*B12*4.2*(B13-B14)*365/(10^3)/3.6,3)</f>
        <v>3832.5</v>
      </c>
      <c r="C17" s="16" t="s">
        <v>10</v>
      </c>
      <c r="D17" s="20"/>
      <c r="E17" s="20"/>
      <c r="F17" s="20"/>
      <c r="G17" s="20"/>
      <c r="H17" s="20"/>
      <c r="I17" s="21"/>
      <c r="J17" s="21"/>
      <c r="K17" s="21"/>
      <c r="L17" s="21"/>
      <c r="M17" s="21"/>
      <c r="N17" s="21"/>
      <c r="O17" s="51"/>
      <c r="P17" s="51"/>
      <c r="Q17" s="51"/>
      <c r="R17" s="51"/>
      <c r="S17" s="51"/>
      <c r="T17" s="51"/>
      <c r="U17" s="51"/>
      <c r="V17" s="9"/>
      <c r="W17" s="9"/>
      <c r="X17" s="9"/>
      <c r="Y17" s="9"/>
    </row>
    <row r="18" spans="1:26" x14ac:dyDescent="0.55000000000000004">
      <c r="A18" s="3" t="s">
        <v>52</v>
      </c>
      <c r="B18" s="28">
        <f>B6/B20</f>
        <v>0.71783545002760907</v>
      </c>
      <c r="C18" s="27"/>
      <c r="D18" s="20"/>
      <c r="E18" s="20"/>
      <c r="F18" s="20"/>
      <c r="G18" s="20"/>
      <c r="H18" s="20"/>
      <c r="I18" s="21"/>
      <c r="J18" s="21"/>
      <c r="K18" s="21"/>
      <c r="L18" s="21"/>
      <c r="M18" s="21"/>
      <c r="N18" s="21"/>
      <c r="O18" s="51"/>
      <c r="P18" s="51"/>
      <c r="Q18" s="51"/>
      <c r="R18" s="51"/>
      <c r="S18" s="51"/>
      <c r="T18" s="51"/>
      <c r="U18" s="51"/>
      <c r="V18" s="9"/>
      <c r="W18" s="9"/>
      <c r="X18" s="9"/>
      <c r="Y18" s="9"/>
    </row>
    <row r="19" spans="1:26" x14ac:dyDescent="0.55000000000000004">
      <c r="A19" s="3" t="s">
        <v>53</v>
      </c>
      <c r="B19" s="28">
        <f>B17/B20</f>
        <v>0.28216454997239093</v>
      </c>
      <c r="C19" s="27"/>
      <c r="D19" s="20"/>
      <c r="E19" s="20"/>
      <c r="F19" s="20"/>
      <c r="G19" s="20"/>
      <c r="H19" s="20"/>
      <c r="I19" s="21"/>
      <c r="J19" s="21"/>
      <c r="K19" s="21"/>
      <c r="L19" s="21"/>
      <c r="M19" s="21"/>
      <c r="N19" s="21"/>
      <c r="O19" s="51"/>
      <c r="P19" s="51"/>
      <c r="Q19" s="51"/>
      <c r="R19" s="51"/>
      <c r="S19" s="51"/>
      <c r="T19" s="51"/>
      <c r="U19" s="51"/>
      <c r="V19" s="9"/>
      <c r="W19" s="9"/>
      <c r="X19" s="9"/>
      <c r="Y19" s="9"/>
    </row>
    <row r="20" spans="1:26" ht="14.7" thickBot="1" x14ac:dyDescent="0.6">
      <c r="A20" s="4" t="s">
        <v>54</v>
      </c>
      <c r="B20" s="17">
        <f>B17+B6</f>
        <v>13582.5</v>
      </c>
      <c r="C20" s="18" t="s">
        <v>10</v>
      </c>
      <c r="D20" s="20"/>
      <c r="E20" s="20"/>
      <c r="F20" s="20"/>
      <c r="G20" s="20"/>
      <c r="H20" s="20"/>
      <c r="I20" s="21"/>
      <c r="J20" s="21"/>
      <c r="K20" s="21"/>
      <c r="L20" s="21"/>
      <c r="M20" s="21"/>
      <c r="N20" s="21"/>
      <c r="O20" s="51"/>
      <c r="P20" s="51"/>
      <c r="Q20" s="51"/>
      <c r="R20" s="51"/>
      <c r="S20" s="51"/>
      <c r="T20" s="51"/>
      <c r="U20" s="51"/>
      <c r="V20" s="9"/>
      <c r="W20" s="9"/>
      <c r="X20" s="9"/>
      <c r="Y20" s="9"/>
    </row>
    <row r="21" spans="1:26" ht="8.6999999999999993" customHeight="1" thickBot="1" x14ac:dyDescent="0.6">
      <c r="D21" s="20"/>
      <c r="E21" s="20"/>
      <c r="F21" s="20"/>
      <c r="G21" s="20"/>
      <c r="H21" s="20"/>
      <c r="I21" s="21"/>
      <c r="J21" s="21"/>
      <c r="K21" s="21"/>
      <c r="L21" s="21"/>
      <c r="M21" s="21"/>
      <c r="N21" s="21"/>
      <c r="O21" s="51"/>
      <c r="P21" s="51"/>
      <c r="Q21" s="51"/>
      <c r="R21" s="51"/>
      <c r="S21" s="51"/>
      <c r="T21" s="51"/>
      <c r="U21" s="51"/>
      <c r="V21" s="9"/>
      <c r="W21" s="9"/>
      <c r="X21" s="9"/>
      <c r="Y21" s="9"/>
    </row>
    <row r="22" spans="1:26" ht="52.2" x14ac:dyDescent="0.6">
      <c r="A22" s="30" t="s">
        <v>14</v>
      </c>
      <c r="B22" s="5" t="s">
        <v>20</v>
      </c>
      <c r="C22" s="8" t="s">
        <v>12</v>
      </c>
      <c r="D22" s="8" t="s">
        <v>11</v>
      </c>
      <c r="E22" s="5" t="s">
        <v>74</v>
      </c>
      <c r="F22" s="6" t="s">
        <v>42</v>
      </c>
      <c r="G22" s="9"/>
      <c r="H22" s="9"/>
      <c r="I22" s="9"/>
      <c r="J22" s="9"/>
      <c r="K22" s="9"/>
      <c r="L22" s="9"/>
      <c r="M22" s="9"/>
      <c r="N22" s="9"/>
      <c r="O22" s="51"/>
      <c r="P22" s="51"/>
      <c r="Q22" s="51"/>
      <c r="R22" s="51"/>
      <c r="S22" s="51"/>
      <c r="T22" s="51"/>
      <c r="U22" s="51"/>
      <c r="V22" s="9"/>
      <c r="W22" s="9"/>
      <c r="X22" s="9"/>
      <c r="Y22" s="9"/>
      <c r="Z22" s="20"/>
    </row>
    <row r="23" spans="1:26" hidden="1" x14ac:dyDescent="0.55000000000000004">
      <c r="A23" s="3" t="str">
        <f>Q23</f>
        <v>Gazowa pompa ciepła (etas=125%)</v>
      </c>
      <c r="B23" s="1">
        <v>1.25</v>
      </c>
      <c r="C23" s="22">
        <v>208</v>
      </c>
      <c r="D23" s="2">
        <v>10.9</v>
      </c>
      <c r="E23" s="22">
        <f>C23/D23</f>
        <v>19.082568807339449</v>
      </c>
      <c r="F23" s="40">
        <f>E23/B23</f>
        <v>15.266055045871559</v>
      </c>
      <c r="G23" s="9"/>
      <c r="H23" s="9"/>
      <c r="I23" s="9"/>
      <c r="J23" s="9"/>
      <c r="K23" s="9"/>
      <c r="L23" s="9"/>
      <c r="M23" s="9"/>
      <c r="N23" s="9" t="s">
        <v>43</v>
      </c>
      <c r="O23" s="55">
        <f>B23*100</f>
        <v>125</v>
      </c>
      <c r="P23" s="51" t="s">
        <v>19</v>
      </c>
      <c r="Q23" s="51" t="str">
        <f>CONCATENATE(N23,O23,P23)</f>
        <v>Gazowa pompa ciepła (etas=125%)</v>
      </c>
      <c r="R23" s="51"/>
      <c r="S23" s="51"/>
      <c r="T23" s="51"/>
      <c r="U23" s="51"/>
      <c r="V23" s="9"/>
      <c r="W23" s="9"/>
      <c r="X23" s="9"/>
      <c r="Y23" s="9"/>
      <c r="Z23" s="20"/>
    </row>
    <row r="24" spans="1:26" x14ac:dyDescent="0.55000000000000004">
      <c r="A24" s="3" t="str">
        <f t="shared" ref="A24:A34" si="0">Q24</f>
        <v>Pompa ciepła powietrze/woda (SCOP= 3,1 taryfa G12w, grzejniki)</v>
      </c>
      <c r="B24" s="32">
        <f>O24</f>
        <v>3.1</v>
      </c>
      <c r="C24" s="62">
        <v>43</v>
      </c>
      <c r="D24" s="65">
        <v>1</v>
      </c>
      <c r="E24" s="65">
        <f>C24</f>
        <v>43</v>
      </c>
      <c r="F24" s="40">
        <f t="shared" ref="F24:F34" si="1">E24/B24</f>
        <v>13.870967741935484</v>
      </c>
      <c r="G24" s="9"/>
      <c r="H24" s="9"/>
      <c r="I24" s="9"/>
      <c r="J24" s="9"/>
      <c r="K24" s="9"/>
      <c r="L24" s="9"/>
      <c r="M24" s="9"/>
      <c r="N24" s="9" t="s">
        <v>62</v>
      </c>
      <c r="O24" s="56">
        <f>ROUND(F51,1)</f>
        <v>3.1</v>
      </c>
      <c r="P24" s="51" t="s">
        <v>26</v>
      </c>
      <c r="Q24" s="51" t="str">
        <f t="shared" ref="Q24:Q34" si="2">CONCATENATE(N24,O24,P24)</f>
        <v>Pompa ciepła powietrze/woda (SCOP= 3,1 taryfa G12w, grzejniki)</v>
      </c>
      <c r="R24" s="51"/>
      <c r="S24" s="51"/>
      <c r="T24" s="51"/>
      <c r="U24" s="51"/>
      <c r="V24" s="9"/>
      <c r="W24" s="9"/>
      <c r="X24" s="9"/>
      <c r="Y24" s="9"/>
      <c r="Z24" s="20"/>
    </row>
    <row r="25" spans="1:26" x14ac:dyDescent="0.55000000000000004">
      <c r="A25" s="3" t="str">
        <f t="shared" si="0"/>
        <v>Pompa ciepła powietrze/woda (SCOP = 3,8 taryfa G12w, o. podłogowe)</v>
      </c>
      <c r="B25" s="32">
        <f>O25</f>
        <v>3.8</v>
      </c>
      <c r="C25" s="65">
        <f>C24</f>
        <v>43</v>
      </c>
      <c r="D25" s="65">
        <v>1</v>
      </c>
      <c r="E25" s="65">
        <f>E24</f>
        <v>43</v>
      </c>
      <c r="F25" s="40">
        <f t="shared" si="1"/>
        <v>11.315789473684211</v>
      </c>
      <c r="G25" s="9"/>
      <c r="H25" s="9"/>
      <c r="I25" s="9"/>
      <c r="J25" s="9"/>
      <c r="K25" s="9"/>
      <c r="L25" s="9"/>
      <c r="M25" s="9"/>
      <c r="N25" s="9" t="s">
        <v>64</v>
      </c>
      <c r="O25" s="56">
        <f>ROUND(F43,1)</f>
        <v>3.8</v>
      </c>
      <c r="P25" s="51" t="s">
        <v>27</v>
      </c>
      <c r="Q25" s="51" t="str">
        <f t="shared" si="2"/>
        <v>Pompa ciepła powietrze/woda (SCOP = 3,8 taryfa G12w, o. podłogowe)</v>
      </c>
      <c r="R25" s="51"/>
      <c r="S25" s="51"/>
      <c r="T25" s="51"/>
      <c r="U25" s="51"/>
      <c r="V25" s="9"/>
      <c r="W25" s="9"/>
      <c r="X25" s="9"/>
      <c r="Y25" s="9"/>
      <c r="Z25" s="20"/>
    </row>
    <row r="26" spans="1:26" x14ac:dyDescent="0.55000000000000004">
      <c r="A26" s="3" t="str">
        <f t="shared" si="0"/>
        <v>Pompa ciepła solanka/woda (SCOP =3,4 taryfa G12w, grzejniki)</v>
      </c>
      <c r="B26" s="32">
        <f>O26</f>
        <v>3.4</v>
      </c>
      <c r="C26" s="65">
        <f t="shared" ref="C26:E27" si="3">C25</f>
        <v>43</v>
      </c>
      <c r="D26" s="65">
        <v>1</v>
      </c>
      <c r="E26" s="65">
        <f t="shared" si="3"/>
        <v>43</v>
      </c>
      <c r="F26" s="40">
        <f t="shared" si="1"/>
        <v>12.647058823529411</v>
      </c>
      <c r="G26" s="9"/>
      <c r="H26" s="9"/>
      <c r="I26" s="9"/>
      <c r="J26" s="9"/>
      <c r="K26" s="9"/>
      <c r="L26" s="9"/>
      <c r="M26" s="9"/>
      <c r="N26" s="9" t="s">
        <v>63</v>
      </c>
      <c r="O26" s="56">
        <f>ROUND(F57,1)</f>
        <v>3.4</v>
      </c>
      <c r="P26" s="51" t="s">
        <v>26</v>
      </c>
      <c r="Q26" s="51" t="str">
        <f t="shared" si="2"/>
        <v>Pompa ciepła solanka/woda (SCOP =3,4 taryfa G12w, grzejniki)</v>
      </c>
      <c r="R26" s="51"/>
      <c r="S26" s="51"/>
      <c r="T26" s="51"/>
      <c r="U26" s="51"/>
      <c r="V26" s="9"/>
      <c r="W26" s="9"/>
      <c r="X26" s="9"/>
      <c r="Y26" s="9"/>
      <c r="Z26" s="20"/>
    </row>
    <row r="27" spans="1:26" x14ac:dyDescent="0.55000000000000004">
      <c r="A27" s="3" t="str">
        <f t="shared" si="0"/>
        <v>Pompa ciepła solanka/woda (SCOP =4,1 taryfa G12w, o. podłogowe)</v>
      </c>
      <c r="B27" s="32">
        <f>O27</f>
        <v>4.0999999999999996</v>
      </c>
      <c r="C27" s="65">
        <f t="shared" si="3"/>
        <v>43</v>
      </c>
      <c r="D27" s="65">
        <v>1</v>
      </c>
      <c r="E27" s="65">
        <f t="shared" si="3"/>
        <v>43</v>
      </c>
      <c r="F27" s="40">
        <f t="shared" si="1"/>
        <v>10.487804878048781</v>
      </c>
      <c r="G27" s="9"/>
      <c r="H27" s="9"/>
      <c r="I27" s="9"/>
      <c r="J27" s="9"/>
      <c r="K27" s="9"/>
      <c r="L27" s="9"/>
      <c r="M27" s="9"/>
      <c r="N27" s="9" t="s">
        <v>63</v>
      </c>
      <c r="O27" s="56">
        <f>ROUND(F63,1)</f>
        <v>4.0999999999999996</v>
      </c>
      <c r="P27" s="51" t="s">
        <v>27</v>
      </c>
      <c r="Q27" s="51" t="str">
        <f t="shared" si="2"/>
        <v>Pompa ciepła solanka/woda (SCOP =4,1 taryfa G12w, o. podłogowe)</v>
      </c>
      <c r="R27" s="51"/>
      <c r="S27" s="51"/>
      <c r="T27" s="51"/>
      <c r="U27" s="51"/>
      <c r="V27" s="9"/>
      <c r="W27" s="9"/>
      <c r="X27" s="9"/>
      <c r="Y27" s="9"/>
      <c r="Z27" s="20"/>
    </row>
    <row r="28" spans="1:26" x14ac:dyDescent="0.55000000000000004">
      <c r="A28" s="3" t="str">
        <f t="shared" si="0"/>
        <v>Kocioł na pelet (sprawność średn. 85%)</v>
      </c>
      <c r="B28" s="61">
        <v>0.85</v>
      </c>
      <c r="C28" s="62">
        <v>95</v>
      </c>
      <c r="D28" s="62">
        <v>5</v>
      </c>
      <c r="E28" s="40">
        <f>C28/D28</f>
        <v>19</v>
      </c>
      <c r="F28" s="40">
        <f t="shared" si="1"/>
        <v>22.352941176470591</v>
      </c>
      <c r="G28" s="9"/>
      <c r="H28" s="9"/>
      <c r="I28" s="9"/>
      <c r="J28" s="9"/>
      <c r="K28" s="9"/>
      <c r="L28" s="9"/>
      <c r="M28" s="9"/>
      <c r="N28" s="9" t="s">
        <v>21</v>
      </c>
      <c r="O28" s="51">
        <f t="shared" ref="O28:O34" si="4">B28*100</f>
        <v>85</v>
      </c>
      <c r="P28" s="51" t="s">
        <v>19</v>
      </c>
      <c r="Q28" s="51" t="str">
        <f t="shared" si="2"/>
        <v>Kocioł na pelet (sprawność średn. 85%)</v>
      </c>
      <c r="R28" s="51"/>
      <c r="S28" s="51"/>
      <c r="T28" s="51"/>
      <c r="U28" s="51"/>
      <c r="V28" s="9"/>
      <c r="W28" s="9"/>
      <c r="X28" s="9"/>
      <c r="Y28" s="9"/>
      <c r="Z28" s="20"/>
    </row>
    <row r="29" spans="1:26" x14ac:dyDescent="0.55000000000000004">
      <c r="A29" s="3" t="str">
        <f t="shared" si="0"/>
        <v>Kocioł na kawałki drewna (sprawność średn. 80%)</v>
      </c>
      <c r="B29" s="61">
        <v>0.8</v>
      </c>
      <c r="C29" s="62">
        <v>19</v>
      </c>
      <c r="D29" s="62">
        <v>1.7</v>
      </c>
      <c r="E29" s="40">
        <f t="shared" ref="E29:E34" si="5">C29/D29</f>
        <v>11.176470588235295</v>
      </c>
      <c r="F29" s="40">
        <f t="shared" si="1"/>
        <v>13.970588235294118</v>
      </c>
      <c r="G29" s="9"/>
      <c r="H29" s="9">
        <v>2</v>
      </c>
      <c r="I29" s="9">
        <f>IF(H29=1,I31,IF(H29=2,I32,IF(H29=3,I33,IF(H29=4,I34,"40"))))</f>
        <v>50</v>
      </c>
      <c r="J29" s="9"/>
      <c r="K29" s="9"/>
      <c r="L29" s="9"/>
      <c r="M29" s="9"/>
      <c r="N29" s="9" t="s">
        <v>22</v>
      </c>
      <c r="O29" s="51">
        <f t="shared" si="4"/>
        <v>80</v>
      </c>
      <c r="P29" s="51" t="s">
        <v>19</v>
      </c>
      <c r="Q29" s="51" t="str">
        <f t="shared" si="2"/>
        <v>Kocioł na kawałki drewna (sprawność średn. 80%)</v>
      </c>
      <c r="R29" s="51"/>
      <c r="S29" s="51"/>
      <c r="T29" s="51"/>
      <c r="U29" s="51"/>
      <c r="V29" s="9"/>
      <c r="W29" s="9"/>
      <c r="X29" s="9"/>
      <c r="Y29" s="9"/>
      <c r="Z29" s="20"/>
    </row>
    <row r="30" spans="1:26" x14ac:dyDescent="0.55000000000000004">
      <c r="A30" s="3" t="str">
        <f t="shared" si="0"/>
        <v>Kocioł węglowy, retortowy (sprawność średn. 50%)</v>
      </c>
      <c r="B30" s="61">
        <v>0.5</v>
      </c>
      <c r="C30" s="62">
        <v>85</v>
      </c>
      <c r="D30" s="62">
        <v>7</v>
      </c>
      <c r="E30" s="40">
        <f>C30/D30</f>
        <v>12.142857142857142</v>
      </c>
      <c r="F30" s="40">
        <f t="shared" si="1"/>
        <v>24.285714285714285</v>
      </c>
      <c r="G30" s="9"/>
      <c r="H30" s="9"/>
      <c r="I30" s="9"/>
      <c r="J30" s="9"/>
      <c r="K30" s="9"/>
      <c r="L30" s="9"/>
      <c r="M30" s="9"/>
      <c r="N30" s="9" t="s">
        <v>23</v>
      </c>
      <c r="O30" s="51">
        <f t="shared" si="4"/>
        <v>50</v>
      </c>
      <c r="P30" s="51" t="s">
        <v>19</v>
      </c>
      <c r="Q30" s="51" t="str">
        <f t="shared" si="2"/>
        <v>Kocioł węglowy, retortowy (sprawność średn. 50%)</v>
      </c>
      <c r="R30" s="51"/>
      <c r="S30" s="51"/>
      <c r="T30" s="51"/>
      <c r="U30" s="51"/>
      <c r="V30" s="9"/>
      <c r="W30" s="9"/>
      <c r="X30" s="9"/>
      <c r="Y30" s="9"/>
      <c r="Z30" s="20"/>
    </row>
    <row r="31" spans="1:26" x14ac:dyDescent="0.55000000000000004">
      <c r="A31" s="3" t="str">
        <f t="shared" si="0"/>
        <v>Kocioł węglowy, retortowy (sprawność średn. 80%)</v>
      </c>
      <c r="B31" s="61">
        <v>0.8</v>
      </c>
      <c r="C31" s="62">
        <v>85</v>
      </c>
      <c r="D31" s="62">
        <v>7</v>
      </c>
      <c r="E31" s="40">
        <f t="shared" si="5"/>
        <v>12.142857142857142</v>
      </c>
      <c r="F31" s="40">
        <f t="shared" si="1"/>
        <v>15.178571428571427</v>
      </c>
      <c r="G31" s="9"/>
      <c r="H31" s="9" t="s">
        <v>18</v>
      </c>
      <c r="I31" s="9">
        <v>60</v>
      </c>
      <c r="J31" s="9"/>
      <c r="K31" s="9"/>
      <c r="L31" s="9"/>
      <c r="M31" s="9"/>
      <c r="N31" s="9" t="s">
        <v>23</v>
      </c>
      <c r="O31" s="51">
        <f t="shared" si="4"/>
        <v>80</v>
      </c>
      <c r="P31" s="51" t="s">
        <v>19</v>
      </c>
      <c r="Q31" s="51" t="str">
        <f t="shared" si="2"/>
        <v>Kocioł węglowy, retortowy (sprawność średn. 80%)</v>
      </c>
      <c r="R31" s="51"/>
      <c r="S31" s="51"/>
      <c r="T31" s="51"/>
      <c r="U31" s="51"/>
      <c r="V31" s="9"/>
      <c r="W31" s="9"/>
      <c r="X31" s="9"/>
      <c r="Y31" s="9"/>
      <c r="Z31" s="20"/>
    </row>
    <row r="32" spans="1:26" x14ac:dyDescent="0.55000000000000004">
      <c r="A32" s="3" t="str">
        <f t="shared" si="0"/>
        <v>Kocioł gazowy kondensacyjny GZ (sprawność średn. 87%)</v>
      </c>
      <c r="B32" s="61">
        <v>0.87</v>
      </c>
      <c r="C32" s="62">
        <v>208</v>
      </c>
      <c r="D32" s="62">
        <v>10.9</v>
      </c>
      <c r="E32" s="40">
        <f t="shared" si="5"/>
        <v>19.082568807339449</v>
      </c>
      <c r="F32" s="40">
        <f t="shared" si="1"/>
        <v>21.933987134872929</v>
      </c>
      <c r="G32" s="9"/>
      <c r="H32" s="9" t="s">
        <v>40</v>
      </c>
      <c r="I32" s="9">
        <v>50</v>
      </c>
      <c r="J32" s="9"/>
      <c r="K32" s="9"/>
      <c r="L32" s="9"/>
      <c r="M32" s="9"/>
      <c r="N32" s="9" t="s">
        <v>24</v>
      </c>
      <c r="O32" s="51">
        <f t="shared" si="4"/>
        <v>87</v>
      </c>
      <c r="P32" s="51" t="s">
        <v>19</v>
      </c>
      <c r="Q32" s="51" t="str">
        <f t="shared" si="2"/>
        <v>Kocioł gazowy kondensacyjny GZ (sprawność średn. 87%)</v>
      </c>
      <c r="R32" s="51"/>
      <c r="S32" s="51"/>
      <c r="T32" s="51"/>
      <c r="U32" s="51"/>
      <c r="V32" s="9"/>
      <c r="W32" s="9"/>
      <c r="X32" s="9"/>
      <c r="Y32" s="9"/>
      <c r="Z32" s="20"/>
    </row>
    <row r="33" spans="1:26" x14ac:dyDescent="0.55000000000000004">
      <c r="A33" s="3" t="str">
        <f t="shared" si="0"/>
        <v>Kocioł gazowy kondensacyjny propan (sprawność średn. 85%)</v>
      </c>
      <c r="B33" s="61">
        <v>0.85</v>
      </c>
      <c r="C33" s="62">
        <v>150</v>
      </c>
      <c r="D33" s="62">
        <v>6.6</v>
      </c>
      <c r="E33" s="40">
        <f t="shared" si="5"/>
        <v>22.72727272727273</v>
      </c>
      <c r="F33" s="40">
        <f t="shared" si="1"/>
        <v>26.737967914438507</v>
      </c>
      <c r="G33" s="9"/>
      <c r="H33" s="9" t="s">
        <v>15</v>
      </c>
      <c r="I33" s="9">
        <v>40</v>
      </c>
      <c r="J33" s="9"/>
      <c r="K33" s="9"/>
      <c r="L33" s="9"/>
      <c r="M33" s="9"/>
      <c r="N33" s="9" t="s">
        <v>25</v>
      </c>
      <c r="O33" s="51">
        <f t="shared" si="4"/>
        <v>85</v>
      </c>
      <c r="P33" s="51" t="s">
        <v>19</v>
      </c>
      <c r="Q33" s="51" t="str">
        <f t="shared" si="2"/>
        <v>Kocioł gazowy kondensacyjny propan (sprawność średn. 85%)</v>
      </c>
      <c r="R33" s="51"/>
      <c r="S33" s="51"/>
      <c r="T33" s="51"/>
      <c r="U33" s="51"/>
      <c r="V33" s="9"/>
      <c r="W33" s="9"/>
      <c r="X33" s="9"/>
      <c r="Y33" s="9"/>
      <c r="Z33" s="20"/>
    </row>
    <row r="34" spans="1:26" ht="14.7" thickBot="1" x14ac:dyDescent="0.6">
      <c r="A34" s="3" t="str">
        <f t="shared" si="0"/>
        <v>Kocioł  kondensacyjny olej (sprawność średn. 85%)</v>
      </c>
      <c r="B34" s="63">
        <v>0.85</v>
      </c>
      <c r="C34" s="64">
        <v>310</v>
      </c>
      <c r="D34" s="64">
        <v>10.8</v>
      </c>
      <c r="E34" s="40">
        <f t="shared" si="5"/>
        <v>28.703703703703702</v>
      </c>
      <c r="F34" s="40">
        <f t="shared" si="1"/>
        <v>33.769063180827885</v>
      </c>
      <c r="G34" s="9"/>
      <c r="H34" s="9" t="s">
        <v>16</v>
      </c>
      <c r="I34" s="9">
        <v>15</v>
      </c>
      <c r="J34" s="9"/>
      <c r="K34" s="9"/>
      <c r="L34" s="9"/>
      <c r="M34" s="9"/>
      <c r="N34" s="9" t="s">
        <v>33</v>
      </c>
      <c r="O34" s="51">
        <f t="shared" si="4"/>
        <v>85</v>
      </c>
      <c r="P34" s="51" t="s">
        <v>19</v>
      </c>
      <c r="Q34" s="51" t="str">
        <f t="shared" si="2"/>
        <v>Kocioł  kondensacyjny olej (sprawność średn. 85%)</v>
      </c>
      <c r="R34" s="51"/>
      <c r="S34" s="51"/>
      <c r="T34" s="51"/>
      <c r="U34" s="51"/>
      <c r="V34" s="9"/>
      <c r="W34" s="9"/>
      <c r="X34" s="9"/>
      <c r="Y34" s="9"/>
      <c r="Z34" s="20"/>
    </row>
    <row r="35" spans="1:26" x14ac:dyDescent="0.55000000000000004">
      <c r="D35" s="20"/>
      <c r="E35" s="20"/>
      <c r="F35" s="20"/>
      <c r="G35" s="9"/>
      <c r="H35" s="9"/>
      <c r="I35" s="9"/>
      <c r="J35" s="9" t="s">
        <v>16</v>
      </c>
      <c r="K35" s="9">
        <v>15</v>
      </c>
      <c r="L35" s="9"/>
      <c r="M35" s="9"/>
      <c r="N35" s="9"/>
      <c r="O35" s="51"/>
      <c r="P35" s="51"/>
      <c r="Q35" s="51"/>
      <c r="R35" s="51"/>
      <c r="S35" s="51"/>
      <c r="T35" s="51"/>
      <c r="U35" s="51"/>
      <c r="V35" s="9"/>
      <c r="W35" s="9"/>
      <c r="X35" s="9"/>
      <c r="Y35" s="9"/>
    </row>
    <row r="36" spans="1:26" x14ac:dyDescent="0.55000000000000004">
      <c r="A36" s="25" t="s">
        <v>17</v>
      </c>
      <c r="B36" s="25"/>
      <c r="G36" s="9"/>
      <c r="H36" s="9"/>
      <c r="I36" s="33" t="s">
        <v>32</v>
      </c>
      <c r="J36" s="7">
        <f>B3</f>
        <v>150</v>
      </c>
      <c r="K36" s="9" t="s">
        <v>35</v>
      </c>
      <c r="L36" s="9" t="s">
        <v>66</v>
      </c>
      <c r="M36" s="7">
        <f>B5</f>
        <v>65</v>
      </c>
      <c r="N36" s="9" t="s">
        <v>65</v>
      </c>
      <c r="O36" s="9" t="s">
        <v>34</v>
      </c>
      <c r="P36" s="9" t="s">
        <v>73</v>
      </c>
      <c r="Q36" s="7">
        <f>B11</f>
        <v>4</v>
      </c>
      <c r="R36" s="9" t="s">
        <v>37</v>
      </c>
      <c r="S36" s="9" t="str">
        <f>CONCATENATE(I36,J36,K36,L36,M36,N36,O36,P36,Q36,R36)</f>
        <v>Roczny koszt ogrzewania budynku o pow. 150 m2 przy 65 kWh/(m2*rok) oraz przygotowania c.w.u. (liczba osób: 4)</v>
      </c>
      <c r="T36" s="9"/>
      <c r="U36" s="9"/>
      <c r="V36" s="9"/>
      <c r="W36" s="9"/>
      <c r="X36" s="9"/>
      <c r="Y36" s="9"/>
    </row>
    <row r="37" spans="1:26" ht="15.6" hidden="1" x14ac:dyDescent="0.6">
      <c r="A37" s="23" t="str">
        <f t="shared" ref="A37:A48" si="6">A23</f>
        <v>Gazowa pompa ciepła (etas=125%)</v>
      </c>
      <c r="B37" s="24">
        <f>ROUND($B$20*F23/100,-1)</f>
        <v>2070</v>
      </c>
      <c r="C37" s="20"/>
      <c r="D37" s="20"/>
      <c r="E37" s="20"/>
      <c r="F37" s="20"/>
      <c r="G37" s="9"/>
      <c r="H37" s="9"/>
      <c r="I37" s="33" t="s">
        <v>72</v>
      </c>
      <c r="J37" s="7">
        <f>J36</f>
        <v>150</v>
      </c>
      <c r="K37" s="9" t="s">
        <v>35</v>
      </c>
      <c r="L37" s="9" t="s">
        <v>66</v>
      </c>
      <c r="M37" s="7">
        <f>B6</f>
        <v>9750</v>
      </c>
      <c r="N37" s="9" t="s">
        <v>65</v>
      </c>
      <c r="O37" s="9" t="s">
        <v>34</v>
      </c>
      <c r="P37" s="9" t="s">
        <v>73</v>
      </c>
      <c r="Q37" s="7">
        <f>Q36</f>
        <v>4</v>
      </c>
      <c r="R37" s="9" t="s">
        <v>37</v>
      </c>
      <c r="S37" s="9" t="str">
        <f>CONCATENATE(I37,J37,K37,L37,M37,N37,O37,P37,Q37,R37)</f>
        <v>Wymagana moc PV dla ogrzewania budynku o pow. 150 m2 przy 9750 kWh/(m2*rok) oraz przygotowania c.w.u. (liczba osób: 4)</v>
      </c>
      <c r="T37" s="9"/>
      <c r="U37" s="9"/>
      <c r="V37" s="9"/>
      <c r="W37" s="9"/>
      <c r="X37" s="9"/>
      <c r="Y37" s="9"/>
    </row>
    <row r="38" spans="1:26" ht="15.6" x14ac:dyDescent="0.6">
      <c r="A38" s="23" t="str">
        <f t="shared" si="6"/>
        <v>Pompa ciepła powietrze/woda (SCOP= 3,1 taryfa G12w, grzejniki)</v>
      </c>
      <c r="B38" s="24">
        <f t="shared" ref="B38:B48" si="7">ROUND($B$20*F24/100,-1)</f>
        <v>1880</v>
      </c>
      <c r="C38" s="20"/>
      <c r="D38" s="20"/>
      <c r="E38" s="20"/>
      <c r="F38" s="20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6" ht="15.6" x14ac:dyDescent="0.6">
      <c r="A39" s="23" t="str">
        <f t="shared" si="6"/>
        <v>Pompa ciepła powietrze/woda (SCOP = 3,8 taryfa G12w, o. podłogowe)</v>
      </c>
      <c r="B39" s="24">
        <f t="shared" si="7"/>
        <v>1540</v>
      </c>
      <c r="C39" s="20"/>
      <c r="D39" s="20"/>
      <c r="E39" s="20"/>
      <c r="F39" s="20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6" ht="15.6" x14ac:dyDescent="0.6">
      <c r="A40" s="23" t="str">
        <f t="shared" si="6"/>
        <v>Pompa ciepła solanka/woda (SCOP =3,4 taryfa G12w, grzejniki)</v>
      </c>
      <c r="B40" s="24">
        <f t="shared" si="7"/>
        <v>1720</v>
      </c>
      <c r="C40" s="20"/>
      <c r="D40" s="45" t="s">
        <v>28</v>
      </c>
      <c r="E40" s="45" t="s">
        <v>29</v>
      </c>
      <c r="F40" s="45" t="s">
        <v>30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6" ht="15.6" x14ac:dyDescent="0.6">
      <c r="A41" s="23" t="str">
        <f t="shared" si="6"/>
        <v>Pompa ciepła solanka/woda (SCOP =4,1 taryfa G12w, o. podłogowe)</v>
      </c>
      <c r="B41" s="24">
        <f t="shared" si="7"/>
        <v>1420</v>
      </c>
      <c r="C41" s="20"/>
      <c r="D41" s="44">
        <f>B7*2.5</f>
        <v>4.8250000000000002</v>
      </c>
      <c r="E41" s="44">
        <f>B15*2.5</f>
        <v>2.5</v>
      </c>
      <c r="F41" s="45"/>
      <c r="G41" s="45"/>
      <c r="H41" s="45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6" ht="15.6" x14ac:dyDescent="0.6">
      <c r="A42" s="23" t="str">
        <f t="shared" si="6"/>
        <v>Kocioł na pelet (sprawność średn. 85%)</v>
      </c>
      <c r="B42" s="24">
        <f t="shared" si="7"/>
        <v>3040</v>
      </c>
      <c r="C42" s="20"/>
      <c r="D42" s="46">
        <f>B18</f>
        <v>0.71783545002760907</v>
      </c>
      <c r="E42" s="46">
        <f>B19</f>
        <v>0.28216454997239093</v>
      </c>
      <c r="F42" s="47">
        <f>B20</f>
        <v>13582.5</v>
      </c>
      <c r="G42" s="45"/>
      <c r="H42" s="45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6" ht="15.6" x14ac:dyDescent="0.6">
      <c r="A43" s="23" t="str">
        <f t="shared" si="6"/>
        <v>Kocioł na kawałki drewna (sprawność średn. 80%)</v>
      </c>
      <c r="B43" s="24">
        <f t="shared" si="7"/>
        <v>1900</v>
      </c>
      <c r="C43" s="20"/>
      <c r="D43" s="48">
        <f>D41*D42</f>
        <v>3.4635560463832138</v>
      </c>
      <c r="E43" s="48">
        <f>E41*E42</f>
        <v>0.70541137493097739</v>
      </c>
      <c r="F43" s="48">
        <f>H43</f>
        <v>3.8220454634922993</v>
      </c>
      <c r="G43" s="48">
        <f>F42/G44</f>
        <v>3.8220454634922998</v>
      </c>
      <c r="H43" s="48">
        <f>1/(D42/D41+E42/E41)</f>
        <v>3.8220454634922993</v>
      </c>
      <c r="I43" s="9"/>
      <c r="J43" s="9"/>
      <c r="K43" s="9"/>
      <c r="L43" s="9"/>
      <c r="M43" s="9"/>
      <c r="N43" s="9"/>
      <c r="O43" s="9"/>
      <c r="P43" s="9"/>
      <c r="Q43" s="20"/>
      <c r="R43" s="20"/>
      <c r="S43" s="20"/>
    </row>
    <row r="44" spans="1:26" ht="15.6" x14ac:dyDescent="0.6">
      <c r="A44" s="23" t="str">
        <f t="shared" si="6"/>
        <v>Kocioł węglowy, retortowy (sprawność średn. 50%)</v>
      </c>
      <c r="B44" s="24">
        <f t="shared" si="7"/>
        <v>3300</v>
      </c>
      <c r="C44" s="20"/>
      <c r="D44" s="49">
        <f>B6/D41</f>
        <v>2020.7253886010362</v>
      </c>
      <c r="E44" s="50">
        <f>B17/E41</f>
        <v>1533</v>
      </c>
      <c r="F44" s="50">
        <f>F42/F43</f>
        <v>3553.7253886010367</v>
      </c>
      <c r="G44" s="50">
        <f>D44+E44</f>
        <v>3553.7253886010362</v>
      </c>
      <c r="H44" s="45"/>
      <c r="I44" s="9"/>
      <c r="J44" s="9"/>
      <c r="K44" s="9"/>
      <c r="L44" s="9"/>
      <c r="M44" s="9"/>
      <c r="N44" s="9"/>
      <c r="O44" s="9"/>
      <c r="P44" s="9"/>
      <c r="Q44" s="20"/>
      <c r="R44" s="20"/>
      <c r="S44" s="20"/>
    </row>
    <row r="45" spans="1:26" ht="15.6" x14ac:dyDescent="0.6">
      <c r="A45" s="23" t="str">
        <f t="shared" si="6"/>
        <v>Kocioł węglowy, retortowy (sprawność średn. 80%)</v>
      </c>
      <c r="B45" s="24">
        <f t="shared" si="7"/>
        <v>2060</v>
      </c>
      <c r="C45" s="20"/>
      <c r="D45" s="50">
        <f>B6/D41*1.25/1000</f>
        <v>2.5259067357512954</v>
      </c>
      <c r="E45" s="50">
        <f>B17/E41*1.25/1000</f>
        <v>1.91625</v>
      </c>
      <c r="F45" s="48">
        <f>F44*1.25/1000</f>
        <v>4.4421567357512961</v>
      </c>
      <c r="G45" s="48">
        <f>H43</f>
        <v>3.8220454634922993</v>
      </c>
      <c r="H45" s="45"/>
      <c r="I45" s="9"/>
      <c r="J45" s="9"/>
      <c r="K45" s="9"/>
      <c r="L45" s="9"/>
      <c r="M45" s="9"/>
      <c r="N45" s="9"/>
      <c r="O45" s="9"/>
      <c r="P45" s="9"/>
      <c r="Q45" s="20"/>
      <c r="R45" s="20"/>
      <c r="S45" s="20"/>
    </row>
    <row r="46" spans="1:26" ht="15.6" x14ac:dyDescent="0.6">
      <c r="A46" s="23" t="str">
        <f t="shared" si="6"/>
        <v>Kocioł gazowy kondensacyjny GZ (sprawność średn. 87%)</v>
      </c>
      <c r="B46" s="24">
        <f t="shared" si="7"/>
        <v>2980</v>
      </c>
      <c r="C46" s="20"/>
      <c r="D46" s="45"/>
      <c r="E46" s="45"/>
      <c r="F46" s="45"/>
      <c r="G46" s="45"/>
      <c r="H46" s="45"/>
      <c r="I46" s="9"/>
      <c r="J46" s="9"/>
      <c r="K46" s="9"/>
      <c r="L46" s="9"/>
      <c r="M46" s="9"/>
      <c r="N46" s="9"/>
      <c r="O46" s="9"/>
      <c r="P46" s="9"/>
      <c r="Q46" s="20"/>
      <c r="R46" s="20"/>
      <c r="S46" s="20"/>
    </row>
    <row r="47" spans="1:26" ht="15.6" x14ac:dyDescent="0.6">
      <c r="A47" s="23" t="str">
        <f t="shared" si="6"/>
        <v>Kocioł gazowy kondensacyjny propan (sprawność średn. 85%)</v>
      </c>
      <c r="B47" s="24">
        <f t="shared" si="7"/>
        <v>3630</v>
      </c>
      <c r="C47" s="20"/>
      <c r="D47" s="45" t="s">
        <v>28</v>
      </c>
      <c r="E47" s="45" t="s">
        <v>29</v>
      </c>
      <c r="F47" s="45" t="s">
        <v>30</v>
      </c>
      <c r="G47" s="45"/>
      <c r="H47" s="45"/>
      <c r="I47" s="9"/>
      <c r="J47" s="9"/>
      <c r="K47" s="9"/>
      <c r="L47" s="9"/>
      <c r="M47" s="9"/>
      <c r="N47" s="9"/>
      <c r="O47" s="9"/>
      <c r="P47" s="9"/>
      <c r="Q47" s="20"/>
      <c r="R47" s="20"/>
      <c r="S47" s="20"/>
    </row>
    <row r="48" spans="1:26" ht="15.6" x14ac:dyDescent="0.6">
      <c r="A48" s="23" t="str">
        <f t="shared" si="6"/>
        <v>Kocioł  kondensacyjny olej (sprawność średn. 85%)</v>
      </c>
      <c r="B48" s="24">
        <f t="shared" si="7"/>
        <v>4590</v>
      </c>
      <c r="C48" s="20"/>
      <c r="D48" s="44">
        <f>B8*2.5</f>
        <v>3.375</v>
      </c>
      <c r="E48" s="44">
        <f>B15*2.5</f>
        <v>2.5</v>
      </c>
      <c r="F48" s="45"/>
      <c r="G48" s="45"/>
      <c r="H48" s="45"/>
      <c r="I48" s="9"/>
      <c r="J48" s="9"/>
      <c r="K48" s="9"/>
      <c r="L48" s="9"/>
      <c r="M48" s="9"/>
      <c r="N48" s="9"/>
      <c r="O48" s="9"/>
      <c r="P48" s="9"/>
      <c r="Q48" s="20"/>
      <c r="R48" s="20"/>
      <c r="S48" s="20"/>
    </row>
    <row r="49" spans="1:19" x14ac:dyDescent="0.55000000000000004">
      <c r="A49" s="9" t="s">
        <v>0</v>
      </c>
      <c r="B49" s="10" t="e">
        <f>F24*#REF!/100</f>
        <v>#REF!</v>
      </c>
      <c r="C49" s="20"/>
      <c r="D49" s="46">
        <f>B18</f>
        <v>0.71783545002760907</v>
      </c>
      <c r="E49" s="46">
        <f>B19</f>
        <v>0.28216454997239093</v>
      </c>
      <c r="F49" s="47">
        <f>F42</f>
        <v>13582.5</v>
      </c>
      <c r="G49" s="48">
        <f>F49/G50</f>
        <v>3.071651129482122</v>
      </c>
      <c r="H49" s="48">
        <f>1/(D49/D48+E49/E48)</f>
        <v>3.0716511294821216</v>
      </c>
      <c r="I49" s="9"/>
      <c r="J49" s="9"/>
      <c r="K49" s="9"/>
      <c r="L49" s="9"/>
      <c r="M49" s="9"/>
      <c r="N49" s="9"/>
      <c r="O49" s="9"/>
      <c r="P49" s="9"/>
      <c r="Q49" s="20"/>
      <c r="R49" s="20"/>
      <c r="S49" s="20"/>
    </row>
    <row r="50" spans="1:19" x14ac:dyDescent="0.55000000000000004">
      <c r="A50" s="25" t="s">
        <v>17</v>
      </c>
      <c r="B50" s="25"/>
      <c r="C50" s="20"/>
      <c r="D50" s="49">
        <f>B6/D48</f>
        <v>2888.8888888888887</v>
      </c>
      <c r="E50" s="49">
        <f>B17/E48</f>
        <v>1533</v>
      </c>
      <c r="F50" s="45"/>
      <c r="G50" s="49">
        <f>D50+E50</f>
        <v>4421.8888888888887</v>
      </c>
      <c r="H50" s="45"/>
      <c r="I50" s="9"/>
      <c r="J50" s="9"/>
      <c r="K50" s="9"/>
      <c r="L50" s="9"/>
      <c r="M50" s="9"/>
      <c r="N50" s="9"/>
      <c r="O50" s="9"/>
      <c r="P50" s="9"/>
      <c r="Q50" s="20"/>
      <c r="R50" s="20"/>
      <c r="S50" s="20"/>
    </row>
    <row r="51" spans="1:19" ht="15.6" x14ac:dyDescent="0.6">
      <c r="A51" s="23" t="str">
        <f t="shared" ref="A51:A62" si="8">A37</f>
        <v>Gazowa pompa ciepła (etas=125%)</v>
      </c>
      <c r="B51" s="26">
        <f t="shared" ref="B51:B62" si="9">B37/$B$46</f>
        <v>0.69463087248322153</v>
      </c>
      <c r="C51" s="20"/>
      <c r="D51" s="48">
        <f>D48*D49</f>
        <v>2.4226946438431805</v>
      </c>
      <c r="E51" s="48">
        <f>E48*E49</f>
        <v>0.70541137493097739</v>
      </c>
      <c r="F51" s="48">
        <f>H49</f>
        <v>3.0716511294821216</v>
      </c>
      <c r="G51" s="50">
        <f>D51+E51</f>
        <v>3.1281060187741581</v>
      </c>
      <c r="H51" s="45"/>
      <c r="I51" s="9"/>
      <c r="J51" s="9"/>
      <c r="K51" s="9"/>
      <c r="L51" s="9"/>
      <c r="M51" s="9"/>
      <c r="N51" s="9"/>
      <c r="O51" s="9"/>
      <c r="P51" s="9"/>
      <c r="Q51" s="20"/>
      <c r="R51" s="20"/>
      <c r="S51" s="20"/>
    </row>
    <row r="52" spans="1:19" ht="15.6" x14ac:dyDescent="0.6">
      <c r="A52" s="23" t="str">
        <f t="shared" si="8"/>
        <v>Pompa ciepła powietrze/woda (SCOP= 3,1 taryfa G12w, grzejniki)</v>
      </c>
      <c r="B52" s="26">
        <f t="shared" si="9"/>
        <v>0.63087248322147649</v>
      </c>
      <c r="C52" s="20"/>
      <c r="D52" s="50">
        <f>B6/D48*1.25/1000</f>
        <v>3.6111111111111107</v>
      </c>
      <c r="E52" s="50">
        <f>B17/E48*1.25/1000</f>
        <v>1.91625</v>
      </c>
      <c r="F52" s="50">
        <f>F49/F51</f>
        <v>4421.8888888888887</v>
      </c>
      <c r="G52" s="50">
        <f>H49</f>
        <v>3.0716511294821216</v>
      </c>
      <c r="H52" s="45"/>
      <c r="I52" s="9"/>
      <c r="J52" s="9"/>
      <c r="K52" s="9"/>
      <c r="L52" s="9"/>
      <c r="M52" s="9"/>
      <c r="N52" s="9"/>
      <c r="O52" s="9"/>
      <c r="P52" s="9"/>
      <c r="Q52" s="20"/>
      <c r="R52" s="20"/>
      <c r="S52" s="20"/>
    </row>
    <row r="53" spans="1:19" ht="15.6" x14ac:dyDescent="0.6">
      <c r="A53" s="23" t="str">
        <f t="shared" si="8"/>
        <v>Pompa ciepła powietrze/woda (SCOP = 3,8 taryfa G12w, o. podłogowe)</v>
      </c>
      <c r="B53" s="26">
        <f t="shared" si="9"/>
        <v>0.51677852348993292</v>
      </c>
      <c r="C53" s="20"/>
      <c r="D53" s="45" t="s">
        <v>28</v>
      </c>
      <c r="E53" s="45" t="s">
        <v>29</v>
      </c>
      <c r="F53" s="45" t="s">
        <v>31</v>
      </c>
      <c r="G53" s="45"/>
      <c r="H53" s="45"/>
      <c r="I53" s="9"/>
      <c r="J53" s="9"/>
      <c r="K53" s="9"/>
      <c r="L53" s="9"/>
      <c r="M53" s="9"/>
      <c r="N53" s="9"/>
      <c r="O53" s="9"/>
      <c r="P53" s="9"/>
      <c r="Q53" s="20"/>
      <c r="R53" s="20"/>
      <c r="S53" s="20"/>
    </row>
    <row r="54" spans="1:19" ht="15.6" x14ac:dyDescent="0.6">
      <c r="A54" s="23" t="str">
        <f t="shared" si="8"/>
        <v>Pompa ciepła solanka/woda (SCOP =3,4 taryfa G12w, grzejniki)</v>
      </c>
      <c r="B54" s="26">
        <f t="shared" si="9"/>
        <v>0.57718120805369133</v>
      </c>
      <c r="C54" s="20"/>
      <c r="D54" s="44">
        <f>B10*2.5</f>
        <v>3.75</v>
      </c>
      <c r="E54" s="44">
        <f>B16*2.5</f>
        <v>2.7</v>
      </c>
      <c r="F54" s="45"/>
      <c r="G54" s="45"/>
      <c r="H54" s="45"/>
      <c r="I54" s="9"/>
      <c r="J54" s="9"/>
      <c r="K54" s="9"/>
      <c r="L54" s="9"/>
      <c r="M54" s="9"/>
      <c r="N54" s="9"/>
      <c r="O54" s="9"/>
      <c r="P54" s="9"/>
      <c r="Q54" s="20"/>
      <c r="R54" s="20"/>
      <c r="S54" s="20"/>
    </row>
    <row r="55" spans="1:19" ht="15.6" x14ac:dyDescent="0.6">
      <c r="A55" s="23" t="str">
        <f t="shared" si="8"/>
        <v>Pompa ciepła solanka/woda (SCOP =4,1 taryfa G12w, o. podłogowe)</v>
      </c>
      <c r="B55" s="26">
        <f t="shared" si="9"/>
        <v>0.47651006711409394</v>
      </c>
      <c r="C55" s="20"/>
      <c r="D55" s="46">
        <f>B18</f>
        <v>0.71783545002760907</v>
      </c>
      <c r="E55" s="46">
        <f>B19</f>
        <v>0.28216454997239093</v>
      </c>
      <c r="F55" s="47">
        <f>F49</f>
        <v>13582.5</v>
      </c>
      <c r="G55" s="48">
        <f>F55/G56</f>
        <v>3.3791983413959916</v>
      </c>
      <c r="H55" s="48">
        <f>1/(D55/D54+E55/E54)</f>
        <v>3.3791983413959916</v>
      </c>
      <c r="I55" s="9"/>
      <c r="J55" s="9"/>
      <c r="K55" s="9"/>
      <c r="L55" s="9"/>
      <c r="M55" s="9"/>
      <c r="N55" s="9"/>
      <c r="O55" s="9"/>
      <c r="P55" s="9"/>
      <c r="Q55" s="20"/>
      <c r="R55" s="20"/>
      <c r="S55" s="20"/>
    </row>
    <row r="56" spans="1:19" ht="15.6" x14ac:dyDescent="0.6">
      <c r="A56" s="23" t="str">
        <f t="shared" si="8"/>
        <v>Kocioł na pelet (sprawność średn. 85%)</v>
      </c>
      <c r="B56" s="26">
        <f t="shared" si="9"/>
        <v>1.0201342281879195</v>
      </c>
      <c r="C56" s="20"/>
      <c r="D56" s="49">
        <f>B6/D54</f>
        <v>2600</v>
      </c>
      <c r="E56" s="49">
        <f>B17/E54</f>
        <v>1419.4444444444443</v>
      </c>
      <c r="F56" s="45"/>
      <c r="G56" s="49">
        <f>D56+E56</f>
        <v>4019.4444444444443</v>
      </c>
      <c r="H56" s="48"/>
      <c r="I56" s="9"/>
      <c r="J56" s="9"/>
      <c r="K56" s="9"/>
      <c r="L56" s="9"/>
      <c r="M56" s="9"/>
      <c r="N56" s="9"/>
      <c r="O56" s="9"/>
      <c r="P56" s="9"/>
      <c r="Q56" s="20"/>
      <c r="R56" s="20"/>
      <c r="S56" s="20"/>
    </row>
    <row r="57" spans="1:19" ht="15.6" x14ac:dyDescent="0.6">
      <c r="A57" s="23" t="str">
        <f t="shared" si="8"/>
        <v>Kocioł na kawałki drewna (sprawność średn. 80%)</v>
      </c>
      <c r="B57" s="26">
        <f t="shared" si="9"/>
        <v>0.63758389261744963</v>
      </c>
      <c r="C57" s="20"/>
      <c r="D57" s="48">
        <f>D54*D55</f>
        <v>2.691882937603534</v>
      </c>
      <c r="E57" s="48">
        <f>E54*E55</f>
        <v>0.76184428492545553</v>
      </c>
      <c r="F57" s="48">
        <f>H55</f>
        <v>3.3791983413959916</v>
      </c>
      <c r="G57" s="45"/>
      <c r="H57" s="45"/>
      <c r="I57" s="58"/>
      <c r="J57" s="66"/>
      <c r="K57" s="66"/>
      <c r="L57" s="66"/>
      <c r="M57" s="9"/>
      <c r="N57" s="9"/>
      <c r="O57" s="9"/>
      <c r="P57" s="9"/>
      <c r="Q57" s="20"/>
      <c r="R57" s="20"/>
      <c r="S57" s="20"/>
    </row>
    <row r="58" spans="1:19" ht="15.6" x14ac:dyDescent="0.6">
      <c r="A58" s="23" t="str">
        <f t="shared" si="8"/>
        <v>Kocioł węglowy, retortowy (sprawność średn. 50%)</v>
      </c>
      <c r="B58" s="26">
        <f t="shared" si="9"/>
        <v>1.1073825503355705</v>
      </c>
      <c r="D58" s="50">
        <f>B6/D54*1.25/1000</f>
        <v>3.25</v>
      </c>
      <c r="E58" s="50">
        <f>B17/E54*1.25/1000</f>
        <v>1.7743055555555554</v>
      </c>
      <c r="F58" s="45"/>
      <c r="G58" s="50">
        <f>D58+E58</f>
        <v>5.0243055555555554</v>
      </c>
      <c r="H58" s="45"/>
      <c r="I58" s="58"/>
      <c r="J58" s="34"/>
      <c r="K58" s="34"/>
      <c r="L58" s="34"/>
      <c r="O58" s="20"/>
      <c r="P58" s="20"/>
      <c r="Q58" s="20"/>
      <c r="R58" s="20"/>
      <c r="S58" s="20"/>
    </row>
    <row r="59" spans="1:19" ht="15.6" x14ac:dyDescent="0.6">
      <c r="A59" s="23" t="str">
        <f t="shared" si="8"/>
        <v>Kocioł węglowy, retortowy (sprawność średn. 80%)</v>
      </c>
      <c r="B59" s="26">
        <f t="shared" si="9"/>
        <v>0.6912751677852349</v>
      </c>
      <c r="D59" s="45" t="s">
        <v>28</v>
      </c>
      <c r="E59" s="45" t="s">
        <v>29</v>
      </c>
      <c r="F59" s="45" t="s">
        <v>31</v>
      </c>
      <c r="G59" s="45"/>
      <c r="H59" s="45"/>
      <c r="I59" s="58"/>
      <c r="J59" s="34"/>
      <c r="K59" s="34"/>
      <c r="L59" s="34"/>
      <c r="O59" s="20"/>
      <c r="P59" s="20"/>
      <c r="Q59" s="20"/>
      <c r="R59" s="20"/>
      <c r="S59" s="20"/>
    </row>
    <row r="60" spans="1:19" ht="15.6" x14ac:dyDescent="0.6">
      <c r="A60" s="23" t="str">
        <f t="shared" si="8"/>
        <v>Kocioł gazowy kondensacyjny GZ (sprawność średn. 87%)</v>
      </c>
      <c r="B60" s="26">
        <f t="shared" si="9"/>
        <v>1</v>
      </c>
      <c r="D60" s="44">
        <f>B9*2.5</f>
        <v>5.25</v>
      </c>
      <c r="E60" s="44">
        <f>B16*2.5</f>
        <v>2.7</v>
      </c>
      <c r="F60" s="45"/>
      <c r="G60" s="45"/>
      <c r="H60" s="45"/>
      <c r="I60" s="58"/>
      <c r="J60" s="34"/>
      <c r="K60" s="34"/>
      <c r="L60" s="34"/>
      <c r="O60" s="20"/>
      <c r="P60" s="20"/>
      <c r="Q60" s="20"/>
      <c r="R60" s="20"/>
      <c r="S60" s="20"/>
    </row>
    <row r="61" spans="1:19" ht="15.6" x14ac:dyDescent="0.6">
      <c r="A61" s="23" t="str">
        <f t="shared" si="8"/>
        <v>Kocioł gazowy kondensacyjny propan (sprawność średn. 85%)</v>
      </c>
      <c r="B61" s="26">
        <f t="shared" si="9"/>
        <v>1.2181208053691275</v>
      </c>
      <c r="D61" s="46">
        <f>B18</f>
        <v>0.71783545002760907</v>
      </c>
      <c r="E61" s="46">
        <f>B19</f>
        <v>0.28216454997239093</v>
      </c>
      <c r="F61" s="47">
        <f>F55</f>
        <v>13582.5</v>
      </c>
      <c r="G61" s="48">
        <f>F61/G62</f>
        <v>4.1453191231682212</v>
      </c>
      <c r="H61" s="48">
        <f>1/(D61/D60+E61/E60)</f>
        <v>4.1453191231682212</v>
      </c>
      <c r="I61" s="58"/>
      <c r="J61" s="34"/>
      <c r="K61" s="34"/>
      <c r="L61" s="34"/>
    </row>
    <row r="62" spans="1:19" ht="15.6" x14ac:dyDescent="0.6">
      <c r="A62" s="23" t="str">
        <f t="shared" si="8"/>
        <v>Kocioł  kondensacyjny olej (sprawność średn. 85%)</v>
      </c>
      <c r="B62" s="26">
        <f t="shared" si="9"/>
        <v>1.5402684563758389</v>
      </c>
      <c r="D62" s="49">
        <f>B6/D60</f>
        <v>1857.1428571428571</v>
      </c>
      <c r="E62" s="49">
        <f>B17/E60</f>
        <v>1419.4444444444443</v>
      </c>
      <c r="F62" s="45"/>
      <c r="G62" s="49">
        <f>D62+E62</f>
        <v>3276.5873015873012</v>
      </c>
      <c r="H62" s="45"/>
      <c r="I62" s="58"/>
      <c r="J62" s="34"/>
      <c r="K62" s="34"/>
      <c r="L62" s="34"/>
    </row>
    <row r="63" spans="1:19" x14ac:dyDescent="0.55000000000000004">
      <c r="D63" s="48">
        <f>D60*D61</f>
        <v>3.7686361126449475</v>
      </c>
      <c r="E63" s="48">
        <f>E60*E61</f>
        <v>0.76184428492545553</v>
      </c>
      <c r="F63" s="48">
        <f>H61</f>
        <v>4.1453191231682212</v>
      </c>
      <c r="G63" s="45"/>
      <c r="H63" s="45"/>
      <c r="I63" s="58"/>
      <c r="J63" s="34"/>
      <c r="K63" s="34"/>
      <c r="L63" s="34"/>
    </row>
    <row r="64" spans="1:19" x14ac:dyDescent="0.55000000000000004">
      <c r="A64" s="25" t="s">
        <v>36</v>
      </c>
      <c r="B64" s="25"/>
      <c r="D64" s="50">
        <f>B6/D60*1.25/1000</f>
        <v>2.3214285714285716</v>
      </c>
      <c r="E64" s="50">
        <f>B17/E60*1.25/1000</f>
        <v>1.7743055555555554</v>
      </c>
      <c r="F64" s="45"/>
      <c r="G64" s="50">
        <f>D64+E64</f>
        <v>4.0957341269841265</v>
      </c>
      <c r="H64" s="45"/>
      <c r="I64" s="9"/>
      <c r="J64" s="21"/>
      <c r="K64" s="21"/>
      <c r="L64" s="21"/>
    </row>
    <row r="65" spans="1:12" ht="15.6" x14ac:dyDescent="0.6">
      <c r="A65" s="23" t="str">
        <f>A52</f>
        <v>Pompa ciepła powietrze/woda (SCOP= 3,1 taryfa G12w, grzejniki)</v>
      </c>
      <c r="B65" s="31">
        <f>B20/G49/1000*1.25</f>
        <v>5.5273611111111105</v>
      </c>
      <c r="D65" s="45"/>
      <c r="E65" s="45"/>
      <c r="F65" s="45"/>
      <c r="G65" s="45"/>
      <c r="H65" s="45"/>
      <c r="I65" s="9"/>
      <c r="J65" s="21"/>
      <c r="K65" s="21"/>
      <c r="L65" s="21"/>
    </row>
    <row r="66" spans="1:12" ht="15.6" x14ac:dyDescent="0.6">
      <c r="A66" s="23" t="str">
        <f>A53</f>
        <v>Pompa ciepła powietrze/woda (SCOP = 3,8 taryfa G12w, o. podłogowe)</v>
      </c>
      <c r="B66" s="31">
        <f>B20/H43/1000*1.25</f>
        <v>4.4421567357512961</v>
      </c>
      <c r="D66" s="57"/>
      <c r="E66" s="57"/>
      <c r="F66" s="57"/>
      <c r="G66" s="57"/>
      <c r="H66" s="57"/>
      <c r="I66" s="20"/>
      <c r="J66" s="21"/>
      <c r="K66" s="21"/>
      <c r="L66" s="21"/>
    </row>
    <row r="67" spans="1:12" ht="15.6" x14ac:dyDescent="0.6">
      <c r="A67" s="23" t="str">
        <f>A54</f>
        <v>Pompa ciepła solanka/woda (SCOP =3,4 taryfa G12w, grzejniki)</v>
      </c>
      <c r="B67" s="31">
        <f>B20/H55/1000*1.25</f>
        <v>5.0243055555555554</v>
      </c>
      <c r="D67" s="57"/>
      <c r="E67" s="57"/>
      <c r="F67" s="57"/>
      <c r="G67" s="57"/>
      <c r="H67" s="57"/>
      <c r="I67" s="20"/>
      <c r="J67" s="21"/>
      <c r="K67" s="21"/>
      <c r="L67" s="21"/>
    </row>
    <row r="68" spans="1:12" ht="15.6" x14ac:dyDescent="0.6">
      <c r="A68" s="23" t="str">
        <f>A55</f>
        <v>Pompa ciepła solanka/woda (SCOP =4,1 taryfa G12w, o. podłogowe)</v>
      </c>
      <c r="B68" s="31">
        <f>B20/H61/1000*1.25</f>
        <v>4.0957341269841265</v>
      </c>
      <c r="D68" s="57"/>
      <c r="E68" s="57"/>
      <c r="F68" s="57"/>
      <c r="G68" s="57"/>
      <c r="H68" s="57"/>
      <c r="I68" s="20"/>
      <c r="J68" s="21"/>
      <c r="K68" s="21"/>
      <c r="L68" s="21"/>
    </row>
    <row r="69" spans="1:12" x14ac:dyDescent="0.55000000000000004"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55000000000000004"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55000000000000004">
      <c r="A71" s="25" t="s">
        <v>36</v>
      </c>
      <c r="B71" s="42" t="s">
        <v>60</v>
      </c>
      <c r="C71" s="42" t="s">
        <v>61</v>
      </c>
      <c r="G71" s="21"/>
      <c r="H71" s="21"/>
      <c r="I71" s="21"/>
      <c r="J71" s="21"/>
      <c r="K71" s="21"/>
      <c r="L71" s="21"/>
    </row>
    <row r="72" spans="1:12" ht="15.6" x14ac:dyDescent="0.6">
      <c r="A72" s="23" t="str">
        <f>A65</f>
        <v>Pompa ciepła powietrze/woda (SCOP= 3,1 taryfa G12w, grzejniki)</v>
      </c>
      <c r="B72" s="43">
        <f>D52</f>
        <v>3.6111111111111107</v>
      </c>
      <c r="C72" s="43">
        <f>E52</f>
        <v>1.91625</v>
      </c>
      <c r="G72" s="21"/>
      <c r="H72" s="21"/>
      <c r="I72" s="21"/>
      <c r="J72" s="21"/>
      <c r="K72" s="21"/>
      <c r="L72" s="21"/>
    </row>
    <row r="73" spans="1:12" ht="15.6" x14ac:dyDescent="0.6">
      <c r="A73" s="23" t="str">
        <f>A66</f>
        <v>Pompa ciepła powietrze/woda (SCOP = 3,8 taryfa G12w, o. podłogowe)</v>
      </c>
      <c r="B73" s="43">
        <f>D45</f>
        <v>2.5259067357512954</v>
      </c>
      <c r="C73" s="43">
        <f>E45</f>
        <v>1.91625</v>
      </c>
      <c r="G73" s="21"/>
      <c r="H73" s="21"/>
      <c r="I73" s="21"/>
      <c r="J73" s="21"/>
      <c r="K73" s="21"/>
      <c r="L73" s="21"/>
    </row>
    <row r="74" spans="1:12" ht="15.6" x14ac:dyDescent="0.6">
      <c r="A74" s="23" t="str">
        <f>A67</f>
        <v>Pompa ciepła solanka/woda (SCOP =3,4 taryfa G12w, grzejniki)</v>
      </c>
      <c r="B74" s="43">
        <f>D58</f>
        <v>3.25</v>
      </c>
      <c r="C74" s="43">
        <f>E58</f>
        <v>1.7743055555555554</v>
      </c>
      <c r="G74" s="21"/>
      <c r="H74" s="21"/>
      <c r="I74" s="21"/>
      <c r="J74" s="21"/>
      <c r="K74" s="21"/>
      <c r="L74" s="21"/>
    </row>
    <row r="75" spans="1:12" ht="15.6" x14ac:dyDescent="0.6">
      <c r="A75" s="23" t="str">
        <f>A68</f>
        <v>Pompa ciepła solanka/woda (SCOP =4,1 taryfa G12w, o. podłogowe)</v>
      </c>
      <c r="B75" s="43">
        <f>D64</f>
        <v>2.3214285714285716</v>
      </c>
      <c r="C75" s="43">
        <f>E64</f>
        <v>1.7743055555555554</v>
      </c>
      <c r="G75" s="21"/>
      <c r="H75" s="21"/>
      <c r="I75" s="21"/>
      <c r="J75" s="21"/>
      <c r="K75" s="21"/>
      <c r="L75" s="21"/>
    </row>
    <row r="76" spans="1:12" x14ac:dyDescent="0.55000000000000004">
      <c r="G76" s="21"/>
      <c r="H76" s="21"/>
      <c r="I76" s="21"/>
      <c r="J76" s="21"/>
      <c r="K76" s="21"/>
      <c r="L76" s="21"/>
    </row>
    <row r="77" spans="1:12" x14ac:dyDescent="0.55000000000000004">
      <c r="G77" s="21"/>
      <c r="H77" s="21"/>
      <c r="I77" s="21"/>
      <c r="J77" s="21"/>
      <c r="K77" s="21"/>
      <c r="L77" s="21"/>
    </row>
    <row r="78" spans="1:12" x14ac:dyDescent="0.55000000000000004">
      <c r="A78" s="25" t="s">
        <v>36</v>
      </c>
      <c r="B78" s="25"/>
      <c r="G78" s="21"/>
      <c r="H78" s="21"/>
      <c r="I78" s="21"/>
      <c r="J78" s="21"/>
      <c r="K78" s="21"/>
      <c r="L78" s="21"/>
    </row>
    <row r="79" spans="1:12" ht="15.6" x14ac:dyDescent="0.6">
      <c r="A79" s="23" t="s">
        <v>67</v>
      </c>
      <c r="B79" s="31">
        <f>$B$20/2.5*1.25/1000</f>
        <v>6.7912499999999998</v>
      </c>
      <c r="G79" s="21"/>
      <c r="H79" s="21"/>
      <c r="I79" s="21"/>
      <c r="J79" s="21"/>
      <c r="K79" s="21"/>
      <c r="L79" s="21"/>
    </row>
    <row r="80" spans="1:12" ht="15.6" x14ac:dyDescent="0.6">
      <c r="A80" s="23" t="s">
        <v>71</v>
      </c>
      <c r="B80" s="31">
        <f>$B$20/3*1.25/1000</f>
        <v>5.6593749999999998</v>
      </c>
      <c r="G80" s="21"/>
      <c r="H80" s="21"/>
      <c r="I80" s="21"/>
      <c r="J80" s="21"/>
      <c r="K80" s="21"/>
      <c r="L80" s="21"/>
    </row>
    <row r="81" spans="1:12" ht="15.6" x14ac:dyDescent="0.6">
      <c r="A81" s="23" t="s">
        <v>70</v>
      </c>
      <c r="B81" s="31">
        <f>$B$20/3.5*1.25/1000</f>
        <v>4.8508928571428571</v>
      </c>
      <c r="G81" s="21"/>
      <c r="H81" s="21"/>
      <c r="I81" s="21"/>
      <c r="J81" s="21"/>
      <c r="K81" s="21"/>
      <c r="L81" s="21"/>
    </row>
    <row r="82" spans="1:12" ht="15.6" x14ac:dyDescent="0.6">
      <c r="A82" s="23" t="s">
        <v>69</v>
      </c>
      <c r="B82" s="31">
        <f>$B$20/4*1.25/1000</f>
        <v>4.2445312499999996</v>
      </c>
      <c r="G82" s="21"/>
      <c r="H82" s="21"/>
      <c r="I82" s="21"/>
      <c r="J82" s="21"/>
      <c r="K82" s="21"/>
      <c r="L82" s="21"/>
    </row>
    <row r="83" spans="1:12" ht="15.6" x14ac:dyDescent="0.6">
      <c r="A83" s="23" t="s">
        <v>68</v>
      </c>
      <c r="B83" s="31">
        <f>$B$20/4.5*1.25/1000</f>
        <v>3.7729166666666671</v>
      </c>
      <c r="G83" s="21"/>
      <c r="H83" s="21"/>
      <c r="I83" s="21"/>
      <c r="J83" s="21"/>
      <c r="K83" s="21"/>
      <c r="L83" s="21"/>
    </row>
    <row r="84" spans="1:12" x14ac:dyDescent="0.55000000000000004">
      <c r="G84" s="21"/>
    </row>
    <row r="85" spans="1:12" x14ac:dyDescent="0.55000000000000004">
      <c r="G85" s="21"/>
    </row>
    <row r="86" spans="1:12" x14ac:dyDescent="0.55000000000000004">
      <c r="G86" s="21"/>
    </row>
  </sheetData>
  <mergeCells count="1">
    <mergeCell ref="J57:L5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287" r:id="rId4" name="Drop Down 191">
              <controlPr defaultSize="0" autoFill="0" autoLine="0" autoPict="0">
                <anchor moveWithCells="1">
                  <from>
                    <xdr:col>1</xdr:col>
                    <xdr:colOff>7620</xdr:colOff>
                    <xdr:row>2</xdr:row>
                    <xdr:rowOff>209550</xdr:rowOff>
                  </from>
                  <to>
                    <xdr:col>3</xdr:col>
                    <xdr:colOff>11430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Wykresy</vt:lpstr>
      </vt:variant>
      <vt:variant>
        <vt:i4>11</vt:i4>
      </vt:variant>
    </vt:vector>
  </HeadingPairs>
  <TitlesOfParts>
    <vt:vector size="12" baseType="lpstr">
      <vt:lpstr>Dane</vt:lpstr>
      <vt:lpstr>Wymagana moc PV co i cwu</vt:lpstr>
      <vt:lpstr>Roczny koszt ogrzewania i c.w.u</vt:lpstr>
      <vt:lpstr>Względny koszt roczny</vt:lpstr>
      <vt:lpstr>Koszt 1 kWh </vt:lpstr>
      <vt:lpstr>Szacowana moc PV</vt:lpstr>
      <vt:lpstr>Koszt ogrzewania i cwu</vt:lpstr>
      <vt:lpstr>Moc PV dla różnych PC</vt:lpstr>
      <vt:lpstr>Moc PV 100m2</vt:lpstr>
      <vt:lpstr>Moc PV 150m2</vt:lpstr>
      <vt:lpstr>Moc PV 200m2</vt:lpstr>
      <vt:lpstr>Moc PV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Lachman</dc:creator>
  <cp:lastModifiedBy>Paweł</cp:lastModifiedBy>
  <dcterms:created xsi:type="dcterms:W3CDTF">2014-04-27T13:39:35Z</dcterms:created>
  <dcterms:modified xsi:type="dcterms:W3CDTF">2019-05-30T06:06:47Z</dcterms:modified>
</cp:coreProperties>
</file>