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3.xml" ContentType="application/vnd.openxmlformats-officedocument.drawing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7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omments4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13.xml" ContentType="application/vnd.openxmlformats-officedocument.drawingml.chartshapes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14.xml" ContentType="application/vnd.openxmlformats-officedocument.drawingml.chartshapes+xml"/>
  <Override PartName="/xl/charts/chart18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harts/chart19.xml" ContentType="application/vnd.openxmlformats-officedocument.drawingml.chart+xml"/>
  <Override PartName="/xl/drawings/drawing17.xml" ContentType="application/vnd.openxmlformats-officedocument.drawing+xml"/>
  <Override PartName="/xl/ctrlProps/ctrlProp74.xml" ContentType="application/vnd.ms-excel.controlproperties+xml"/>
  <Override PartName="/xl/ctrlProps/ctrlProp75.xml" ContentType="application/vnd.ms-excel.controlproperties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weł\Desktop\XLS 2019\"/>
    </mc:Choice>
  </mc:AlternateContent>
  <xr:revisionPtr revIDLastSave="0" documentId="13_ncr:1_{7859BEE7-2A39-4645-9FB3-01A07BCEAE67}" xr6:coauthVersionLast="43" xr6:coauthVersionMax="43" xr10:uidLastSave="{00000000-0000-0000-0000-000000000000}"/>
  <bookViews>
    <workbookView xWindow="12" yWindow="12" windowWidth="23028" windowHeight="12948" tabRatio="907" xr2:uid="{00000000-000D-0000-FFFF-FFFF00000000}"/>
  </bookViews>
  <sheets>
    <sheet name="Dane budynku 1" sheetId="35" r:id="rId1"/>
    <sheet name="Dane sprawność 2" sheetId="37" r:id="rId2"/>
    <sheet name="Dane koszty inwestycyjne 3" sheetId="36" r:id="rId3"/>
    <sheet name="Dane eksploatacja 4" sheetId="38" r:id="rId4"/>
    <sheet name="Start" sheetId="1" state="hidden" r:id="rId5"/>
    <sheet name="Wyniki koszty" sheetId="20" r:id="rId6"/>
    <sheet name="Koszty inwestycyjne" sheetId="31" r:id="rId7"/>
    <sheet name="Koszty r." sheetId="32" r:id="rId8"/>
    <sheet name="Koszty r. suma" sheetId="34" r:id="rId9"/>
    <sheet name="Koszty r. %" sheetId="39" r:id="rId10"/>
    <sheet name="Koszty eksploatacji" sheetId="33" r:id="rId11"/>
    <sheet name="Zestawienie" sheetId="2" r:id="rId12"/>
    <sheet name="Wykres kosztów zakumulowanych" sheetId="40" r:id="rId13"/>
    <sheet name="Koszt energii elektrycznej" sheetId="41" state="hidden" r:id="rId14"/>
  </sheets>
  <externalReferences>
    <externalReference r:id="rId15"/>
  </externalReferences>
  <definedNames>
    <definedName name="_r" localSheetId="0">'Dane budynku 1'!$C$23</definedName>
    <definedName name="_r" localSheetId="3">'Dane eksploatacja 4'!#REF!</definedName>
    <definedName name="_r" localSheetId="2">'Dane koszty inwestycyjne 3'!#REF!</definedName>
    <definedName name="_r" localSheetId="1">'Dane sprawność 2'!#REF!</definedName>
    <definedName name="_r" localSheetId="13">[1]Start!$C$22</definedName>
    <definedName name="_r">Start!$C$22</definedName>
    <definedName name="_xlnm.Print_Area" localSheetId="0">'Dane budynku 1'!$B$1:$I$26</definedName>
    <definedName name="_xlnm.Print_Area" localSheetId="3">'Dane eksploatacja 4'!$B$1:$L$22</definedName>
    <definedName name="_xlnm.Print_Area" localSheetId="2">'Dane koszty inwestycyjne 3'!$B$1:$L$26</definedName>
    <definedName name="_xlnm.Print_Area" localSheetId="1">'Dane sprawność 2'!$B$1:$K$16</definedName>
    <definedName name="_xlnm.Print_Area" localSheetId="4">Start!$B$1:$L$103</definedName>
    <definedName name="q" localSheetId="0">'Dane budynku 1'!$C$22</definedName>
    <definedName name="q" localSheetId="3">'Dane eksploatacja 4'!#REF!</definedName>
    <definedName name="q" localSheetId="2">'Dane koszty inwestycyjne 3'!#REF!</definedName>
    <definedName name="q" localSheetId="1">'Dane sprawność 2'!#REF!</definedName>
    <definedName name="q">Start!$C$21</definedName>
    <definedName name="T" localSheetId="0">'Dane budynku 1'!$C$24</definedName>
    <definedName name="T" localSheetId="3">'Dane eksploatacja 4'!#REF!</definedName>
    <definedName name="T" localSheetId="2">'Dane koszty inwestycyjne 3'!#REF!</definedName>
    <definedName name="T" localSheetId="1">'Dane sprawność 2'!#REF!</definedName>
    <definedName name="T" localSheetId="13">[1]Start!$C$23</definedName>
    <definedName name="T">Start!$C$23</definedName>
    <definedName name="z" localSheetId="0">'Dane budynku 1'!#REF!</definedName>
    <definedName name="z" localSheetId="3">'Dane eksploatacja 4'!#REF!</definedName>
    <definedName name="z" localSheetId="2">'Dane koszty inwestycyjne 3'!#REF!</definedName>
    <definedName name="z" localSheetId="1">'Dane sprawność 2'!#REF!</definedName>
    <definedName name="z" localSheetId="13">[1]Start!#REF!</definedName>
    <definedName name="z" localSheetId="9">Start!#REF!</definedName>
    <definedName name="z" localSheetId="12">Start!#REF!</definedName>
    <definedName name="z">Start!#REF!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4" i="36" l="1"/>
  <c r="E69" i="2" s="1"/>
  <c r="H24" i="36"/>
  <c r="D69" i="2" s="1"/>
  <c r="G24" i="36"/>
  <c r="C69" i="2" s="1"/>
  <c r="F24" i="36"/>
  <c r="B69" i="2" s="1"/>
  <c r="K24" i="36"/>
  <c r="G69" i="2" s="1"/>
  <c r="L24" i="36"/>
  <c r="H69" i="2" s="1"/>
  <c r="E9" i="36" l="1"/>
  <c r="L21" i="36" s="1"/>
  <c r="K20" i="36" l="1"/>
  <c r="F19" i="36" l="1"/>
  <c r="L16" i="36"/>
  <c r="I18" i="36"/>
  <c r="L20" i="36"/>
  <c r="H18" i="36"/>
  <c r="G19" i="36"/>
  <c r="F17" i="36"/>
  <c r="G20" i="36"/>
  <c r="F18" i="36"/>
  <c r="H17" i="36"/>
  <c r="J20" i="36"/>
  <c r="F35" i="2"/>
  <c r="G21" i="41" l="1"/>
  <c r="G22" i="41"/>
  <c r="G20" i="41"/>
  <c r="J19" i="41"/>
  <c r="J14" i="41"/>
  <c r="J10" i="41"/>
  <c r="J17" i="41" s="1"/>
  <c r="F17" i="41"/>
  <c r="F10" i="41"/>
  <c r="I10" i="41" s="1"/>
  <c r="G16" i="41"/>
  <c r="G15" i="41"/>
  <c r="G17" i="41"/>
  <c r="I17" i="38"/>
  <c r="I64" i="1" s="1"/>
  <c r="C22" i="1"/>
  <c r="I205" i="2"/>
  <c r="I206" i="2"/>
  <c r="I237" i="2" s="1"/>
  <c r="I232" i="2"/>
  <c r="A8" i="2"/>
  <c r="A54" i="2"/>
  <c r="B60" i="2"/>
  <c r="C60" i="2"/>
  <c r="D60" i="2"/>
  <c r="E60" i="2"/>
  <c r="F60" i="2"/>
  <c r="G60" i="2"/>
  <c r="H60" i="2"/>
  <c r="C66" i="2"/>
  <c r="C11" i="1"/>
  <c r="C12" i="1"/>
  <c r="C14" i="1"/>
  <c r="C15" i="1"/>
  <c r="C16" i="1"/>
  <c r="C17" i="1"/>
  <c r="C20" i="1"/>
  <c r="G71" i="1" s="1"/>
  <c r="C21" i="1"/>
  <c r="C23" i="1"/>
  <c r="C24" i="1"/>
  <c r="F30" i="1"/>
  <c r="G30" i="1"/>
  <c r="H30" i="1"/>
  <c r="I30" i="1"/>
  <c r="J30" i="1"/>
  <c r="K30" i="1"/>
  <c r="L30" i="1"/>
  <c r="F35" i="1"/>
  <c r="G35" i="1"/>
  <c r="H35" i="1"/>
  <c r="I35" i="1"/>
  <c r="J35" i="1"/>
  <c r="K35" i="1"/>
  <c r="L35" i="1"/>
  <c r="F38" i="1"/>
  <c r="G38" i="1"/>
  <c r="H38" i="1"/>
  <c r="I38" i="1"/>
  <c r="J38" i="1"/>
  <c r="K38" i="1"/>
  <c r="L38" i="1"/>
  <c r="F49" i="1"/>
  <c r="G49" i="1"/>
  <c r="H49" i="1"/>
  <c r="I49" i="1"/>
  <c r="J49" i="1"/>
  <c r="K49" i="1"/>
  <c r="L49" i="1"/>
  <c r="F50" i="1"/>
  <c r="B61" i="2" s="1"/>
  <c r="G50" i="1"/>
  <c r="C61" i="2" s="1"/>
  <c r="H50" i="1"/>
  <c r="D61" i="2"/>
  <c r="I50" i="1"/>
  <c r="E61" i="2" s="1"/>
  <c r="J50" i="1"/>
  <c r="F61" i="2" s="1"/>
  <c r="K50" i="1"/>
  <c r="G61" i="2" s="1"/>
  <c r="L50" i="1"/>
  <c r="H61" i="2" s="1"/>
  <c r="F51" i="1"/>
  <c r="B62" i="2" s="1"/>
  <c r="G51" i="1"/>
  <c r="C62" i="2" s="1"/>
  <c r="H51" i="1"/>
  <c r="D62" i="2" s="1"/>
  <c r="I51" i="1"/>
  <c r="E62" i="2" s="1"/>
  <c r="K51" i="1"/>
  <c r="L51" i="1"/>
  <c r="H62" i="2" s="1"/>
  <c r="F52" i="1"/>
  <c r="B63" i="2" s="1"/>
  <c r="G52" i="1"/>
  <c r="C63" i="2" s="1"/>
  <c r="H52" i="1"/>
  <c r="D63" i="2" s="1"/>
  <c r="I52" i="1"/>
  <c r="E63" i="2" s="1"/>
  <c r="J52" i="1"/>
  <c r="F63" i="2" s="1"/>
  <c r="K52" i="1"/>
  <c r="L52" i="1"/>
  <c r="F53" i="1"/>
  <c r="G53" i="1"/>
  <c r="C64" i="2" s="1"/>
  <c r="H53" i="1"/>
  <c r="I53" i="1"/>
  <c r="E64" i="2" s="1"/>
  <c r="J53" i="1"/>
  <c r="F64" i="2" s="1"/>
  <c r="K53" i="1"/>
  <c r="L53" i="1"/>
  <c r="F54" i="1"/>
  <c r="B65" i="2" s="1"/>
  <c r="G54" i="1"/>
  <c r="C65" i="2" s="1"/>
  <c r="H54" i="1"/>
  <c r="D65" i="2" s="1"/>
  <c r="I54" i="1"/>
  <c r="E65" i="2" s="1"/>
  <c r="J54" i="1"/>
  <c r="K54" i="1"/>
  <c r="L54" i="1"/>
  <c r="F55" i="1"/>
  <c r="G55" i="1"/>
  <c r="H55" i="1"/>
  <c r="I55" i="1"/>
  <c r="E66" i="2" s="1"/>
  <c r="J55" i="1"/>
  <c r="F66" i="2" s="1"/>
  <c r="K55" i="1"/>
  <c r="D185" i="2" s="1"/>
  <c r="L55" i="1"/>
  <c r="H66" i="2" s="1"/>
  <c r="F56" i="1"/>
  <c r="G56" i="1"/>
  <c r="H56" i="1"/>
  <c r="I56" i="1"/>
  <c r="J56" i="1"/>
  <c r="K56" i="1"/>
  <c r="L56" i="1"/>
  <c r="H67" i="2" s="1"/>
  <c r="F57" i="1"/>
  <c r="G57" i="1"/>
  <c r="H57" i="1"/>
  <c r="I57" i="1"/>
  <c r="J57" i="1"/>
  <c r="K57" i="1"/>
  <c r="L57" i="1"/>
  <c r="F58" i="1"/>
  <c r="B68" i="2" s="1"/>
  <c r="G58" i="1"/>
  <c r="C68" i="2" s="1"/>
  <c r="H58" i="1"/>
  <c r="D68" i="2" s="1"/>
  <c r="I58" i="1"/>
  <c r="E68" i="2" s="1"/>
  <c r="J58" i="1"/>
  <c r="F68" i="2" s="1"/>
  <c r="K58" i="1"/>
  <c r="G68" i="2" s="1"/>
  <c r="L58" i="1"/>
  <c r="H68" i="2" s="1"/>
  <c r="F59" i="1"/>
  <c r="G59" i="1"/>
  <c r="H59" i="1"/>
  <c r="I59" i="1"/>
  <c r="K59" i="1"/>
  <c r="L59" i="1"/>
  <c r="F64" i="1"/>
  <c r="G64" i="1"/>
  <c r="J64" i="1"/>
  <c r="F44" i="1" s="1"/>
  <c r="F65" i="1"/>
  <c r="G65" i="1"/>
  <c r="H65" i="1"/>
  <c r="F78" i="1"/>
  <c r="G78" i="1"/>
  <c r="H78" i="1"/>
  <c r="I78" i="1"/>
  <c r="J78" i="1"/>
  <c r="K78" i="1"/>
  <c r="L78" i="1"/>
  <c r="F81" i="1"/>
  <c r="G81" i="1"/>
  <c r="H81" i="1"/>
  <c r="I81" i="1"/>
  <c r="K81" i="1"/>
  <c r="L81" i="1"/>
  <c r="C88" i="1"/>
  <c r="C89" i="1"/>
  <c r="D89" i="1" s="1"/>
  <c r="C90" i="1"/>
  <c r="C91" i="1"/>
  <c r="C92" i="1"/>
  <c r="C93" i="1"/>
  <c r="D93" i="1" s="1"/>
  <c r="C94" i="1"/>
  <c r="C95" i="1"/>
  <c r="C96" i="1"/>
  <c r="C97" i="1"/>
  <c r="P172" i="1"/>
  <c r="C196" i="1"/>
  <c r="D196" i="1"/>
  <c r="G196" i="1"/>
  <c r="H17" i="38"/>
  <c r="H64" i="1" s="1"/>
  <c r="K17" i="38"/>
  <c r="K64" i="1" s="1"/>
  <c r="L17" i="38"/>
  <c r="L64" i="1" s="1"/>
  <c r="I18" i="38"/>
  <c r="K18" i="38"/>
  <c r="K65" i="1" s="1"/>
  <c r="L18" i="38"/>
  <c r="L65" i="1" s="1"/>
  <c r="F20" i="38"/>
  <c r="G20" i="38"/>
  <c r="H20" i="38"/>
  <c r="K20" i="38"/>
  <c r="L20" i="38"/>
  <c r="C58" i="38"/>
  <c r="C59" i="38" s="1"/>
  <c r="C60" i="38" s="1"/>
  <c r="C61" i="38" s="1"/>
  <c r="C62" i="38" s="1"/>
  <c r="C63" i="38" s="1"/>
  <c r="C64" i="38" s="1"/>
  <c r="C65" i="38" s="1"/>
  <c r="C66" i="38" s="1"/>
  <c r="C67" i="38" s="1"/>
  <c r="C68" i="38" s="1"/>
  <c r="C69" i="38" s="1"/>
  <c r="C70" i="38" s="1"/>
  <c r="C71" i="38" s="1"/>
  <c r="C72" i="38" s="1"/>
  <c r="C73" i="38" s="1"/>
  <c r="C74" i="38" s="1"/>
  <c r="C75" i="38" s="1"/>
  <c r="C76" i="38" s="1"/>
  <c r="C77" i="38" s="1"/>
  <c r="C78" i="38" s="1"/>
  <c r="C79" i="38" s="1"/>
  <c r="C80" i="38" s="1"/>
  <c r="C81" i="38" s="1"/>
  <c r="C82" i="38" s="1"/>
  <c r="C83" i="38" s="1"/>
  <c r="D58" i="38"/>
  <c r="E58" i="38"/>
  <c r="E59" i="38" s="1"/>
  <c r="E60" i="38" s="1"/>
  <c r="E61" i="38" s="1"/>
  <c r="E62" i="38" s="1"/>
  <c r="E63" i="38" s="1"/>
  <c r="E64" i="38" s="1"/>
  <c r="E65" i="38" s="1"/>
  <c r="E66" i="38" s="1"/>
  <c r="E67" i="38" s="1"/>
  <c r="E68" i="38" s="1"/>
  <c r="E69" i="38" s="1"/>
  <c r="E70" i="38" s="1"/>
  <c r="E71" i="38" s="1"/>
  <c r="E72" i="38" s="1"/>
  <c r="E73" i="38" s="1"/>
  <c r="E74" i="38" s="1"/>
  <c r="E75" i="38" s="1"/>
  <c r="E76" i="38" s="1"/>
  <c r="E77" i="38" s="1"/>
  <c r="E78" i="38" s="1"/>
  <c r="E79" i="38" s="1"/>
  <c r="E80" i="38" s="1"/>
  <c r="E81" i="38" s="1"/>
  <c r="E82" i="38" s="1"/>
  <c r="E83" i="38" s="1"/>
  <c r="F58" i="38"/>
  <c r="F59" i="38" s="1"/>
  <c r="F60" i="38" s="1"/>
  <c r="F61" i="38" s="1"/>
  <c r="F62" i="38" s="1"/>
  <c r="F63" i="38" s="1"/>
  <c r="F64" i="38" s="1"/>
  <c r="F65" i="38" s="1"/>
  <c r="F66" i="38" s="1"/>
  <c r="F67" i="38" s="1"/>
  <c r="F68" i="38" s="1"/>
  <c r="F69" i="38" s="1"/>
  <c r="F70" i="38" s="1"/>
  <c r="F71" i="38" s="1"/>
  <c r="F72" i="38" s="1"/>
  <c r="F73" i="38" s="1"/>
  <c r="F74" i="38" s="1"/>
  <c r="F75" i="38" s="1"/>
  <c r="F76" i="38" s="1"/>
  <c r="F77" i="38" s="1"/>
  <c r="F78" i="38" s="1"/>
  <c r="F79" i="38" s="1"/>
  <c r="F80" i="38" s="1"/>
  <c r="F81" i="38" s="1"/>
  <c r="F82" i="38" s="1"/>
  <c r="F83" i="38" s="1"/>
  <c r="G58" i="38"/>
  <c r="G59" i="38" s="1"/>
  <c r="G60" i="38" s="1"/>
  <c r="G61" i="38" s="1"/>
  <c r="G62" i="38" s="1"/>
  <c r="G63" i="38" s="1"/>
  <c r="G64" i="38" s="1"/>
  <c r="G65" i="38" s="1"/>
  <c r="G66" i="38" s="1"/>
  <c r="G67" i="38" s="1"/>
  <c r="G68" i="38" s="1"/>
  <c r="G69" i="38" s="1"/>
  <c r="G70" i="38" s="1"/>
  <c r="G71" i="38" s="1"/>
  <c r="G72" i="38" s="1"/>
  <c r="G73" i="38" s="1"/>
  <c r="G74" i="38" s="1"/>
  <c r="G75" i="38" s="1"/>
  <c r="G76" i="38" s="1"/>
  <c r="G77" i="38" s="1"/>
  <c r="G78" i="38" s="1"/>
  <c r="G79" i="38" s="1"/>
  <c r="G80" i="38" s="1"/>
  <c r="G81" i="38" s="1"/>
  <c r="G82" i="38" s="1"/>
  <c r="G83" i="38" s="1"/>
  <c r="H58" i="38"/>
  <c r="I58" i="38"/>
  <c r="D59" i="38"/>
  <c r="D60" i="38" s="1"/>
  <c r="D61" i="38" s="1"/>
  <c r="D62" i="38" s="1"/>
  <c r="D63" i="38" s="1"/>
  <c r="D64" i="38" s="1"/>
  <c r="D65" i="38" s="1"/>
  <c r="D66" i="38" s="1"/>
  <c r="D67" i="38" s="1"/>
  <c r="D68" i="38" s="1"/>
  <c r="D69" i="38" s="1"/>
  <c r="D70" i="38" s="1"/>
  <c r="D71" i="38" s="1"/>
  <c r="D72" i="38" s="1"/>
  <c r="D73" i="38" s="1"/>
  <c r="D74" i="38" s="1"/>
  <c r="D75" i="38" s="1"/>
  <c r="D76" i="38" s="1"/>
  <c r="D77" i="38" s="1"/>
  <c r="D78" i="38" s="1"/>
  <c r="D79" i="38" s="1"/>
  <c r="D80" i="38" s="1"/>
  <c r="D81" i="38" s="1"/>
  <c r="D82" i="38" s="1"/>
  <c r="D83" i="38" s="1"/>
  <c r="H59" i="38"/>
  <c r="H60" i="38" s="1"/>
  <c r="H61" i="38" s="1"/>
  <c r="H62" i="38" s="1"/>
  <c r="H63" i="38" s="1"/>
  <c r="H64" i="38" s="1"/>
  <c r="H65" i="38" s="1"/>
  <c r="H66" i="38" s="1"/>
  <c r="H67" i="38" s="1"/>
  <c r="H68" i="38" s="1"/>
  <c r="H69" i="38" s="1"/>
  <c r="H70" i="38" s="1"/>
  <c r="H71" i="38" s="1"/>
  <c r="H72" i="38" s="1"/>
  <c r="H73" i="38" s="1"/>
  <c r="H74" i="38" s="1"/>
  <c r="H75" i="38" s="1"/>
  <c r="H76" i="38" s="1"/>
  <c r="H77" i="38" s="1"/>
  <c r="H78" i="38" s="1"/>
  <c r="H79" i="38" s="1"/>
  <c r="H80" i="38" s="1"/>
  <c r="H81" i="38" s="1"/>
  <c r="H82" i="38" s="1"/>
  <c r="H83" i="38" s="1"/>
  <c r="I59" i="38"/>
  <c r="M59" i="38" s="1"/>
  <c r="G87" i="38" s="1"/>
  <c r="G88" i="38" s="1"/>
  <c r="G89" i="38" s="1"/>
  <c r="P84" i="38"/>
  <c r="C96" i="38"/>
  <c r="C97" i="38" s="1"/>
  <c r="D96" i="38"/>
  <c r="E96" i="38"/>
  <c r="F96" i="38"/>
  <c r="G96" i="38"/>
  <c r="G97" i="38" s="1"/>
  <c r="H96" i="38"/>
  <c r="H97" i="38" s="1"/>
  <c r="I96" i="38"/>
  <c r="I97" i="38" s="1"/>
  <c r="F97" i="38"/>
  <c r="C102" i="38"/>
  <c r="D102" i="38"/>
  <c r="F103" i="38" s="1"/>
  <c r="E102" i="38"/>
  <c r="F102" i="38"/>
  <c r="G102" i="38"/>
  <c r="H102" i="38"/>
  <c r="H103" i="38" s="1"/>
  <c r="I102" i="38"/>
  <c r="C108" i="38"/>
  <c r="C109" i="38" s="1"/>
  <c r="D108" i="38"/>
  <c r="G108" i="38"/>
  <c r="G109" i="38" s="1"/>
  <c r="G110" i="38" s="1"/>
  <c r="H108" i="38"/>
  <c r="H109" i="38" s="1"/>
  <c r="I108" i="38"/>
  <c r="D109" i="38"/>
  <c r="D110" i="38" s="1"/>
  <c r="E109" i="38"/>
  <c r="F109" i="38"/>
  <c r="I109" i="38"/>
  <c r="I110" i="38" s="1"/>
  <c r="C110" i="38"/>
  <c r="F110" i="38"/>
  <c r="H110" i="38"/>
  <c r="F25" i="36"/>
  <c r="C61" i="36" s="1"/>
  <c r="C62" i="36" s="1"/>
  <c r="C63" i="36" s="1"/>
  <c r="C64" i="36" s="1"/>
  <c r="C65" i="36" s="1"/>
  <c r="C66" i="36" s="1"/>
  <c r="C67" i="36" s="1"/>
  <c r="C68" i="36" s="1"/>
  <c r="C69" i="36" s="1"/>
  <c r="C70" i="36" s="1"/>
  <c r="C71" i="36" s="1"/>
  <c r="C72" i="36" s="1"/>
  <c r="C73" i="36" s="1"/>
  <c r="C74" i="36" s="1"/>
  <c r="C75" i="36" s="1"/>
  <c r="C76" i="36" s="1"/>
  <c r="C77" i="36" s="1"/>
  <c r="C78" i="36" s="1"/>
  <c r="C79" i="36" s="1"/>
  <c r="C80" i="36" s="1"/>
  <c r="C81" i="36" s="1"/>
  <c r="C82" i="36" s="1"/>
  <c r="C83" i="36" s="1"/>
  <c r="C84" i="36" s="1"/>
  <c r="C85" i="36" s="1"/>
  <c r="C86" i="36" s="1"/>
  <c r="G25" i="36"/>
  <c r="G60" i="1" s="1"/>
  <c r="H25" i="36"/>
  <c r="E61" i="36" s="1"/>
  <c r="E62" i="36" s="1"/>
  <c r="E63" i="36" s="1"/>
  <c r="E64" i="36" s="1"/>
  <c r="E65" i="36" s="1"/>
  <c r="E66" i="36" s="1"/>
  <c r="E67" i="36" s="1"/>
  <c r="E68" i="36" s="1"/>
  <c r="E69" i="36" s="1"/>
  <c r="E70" i="36" s="1"/>
  <c r="E71" i="36" s="1"/>
  <c r="E72" i="36" s="1"/>
  <c r="E73" i="36" s="1"/>
  <c r="E74" i="36" s="1"/>
  <c r="E75" i="36" s="1"/>
  <c r="E76" i="36" s="1"/>
  <c r="E77" i="36" s="1"/>
  <c r="E78" i="36" s="1"/>
  <c r="E79" i="36" s="1"/>
  <c r="E80" i="36" s="1"/>
  <c r="E81" i="36" s="1"/>
  <c r="E82" i="36" s="1"/>
  <c r="E83" i="36" s="1"/>
  <c r="E84" i="36" s="1"/>
  <c r="E85" i="36" s="1"/>
  <c r="E86" i="36" s="1"/>
  <c r="I25" i="36"/>
  <c r="I60" i="1" s="1"/>
  <c r="F146" i="1" s="1"/>
  <c r="C99" i="36"/>
  <c r="E99" i="36"/>
  <c r="F99" i="36"/>
  <c r="G99" i="36"/>
  <c r="H99" i="36"/>
  <c r="I99" i="36"/>
  <c r="C105" i="36"/>
  <c r="C106" i="36" s="1"/>
  <c r="E105" i="36"/>
  <c r="E106" i="36" s="1"/>
  <c r="F105" i="36"/>
  <c r="F106" i="36" s="1"/>
  <c r="G105" i="36"/>
  <c r="H105" i="36"/>
  <c r="H106" i="36" s="1"/>
  <c r="I105" i="36"/>
  <c r="I106" i="36" s="1"/>
  <c r="G106" i="36"/>
  <c r="C111" i="36"/>
  <c r="G111" i="36"/>
  <c r="G112" i="36" s="1"/>
  <c r="G113" i="36" s="1"/>
  <c r="H111" i="36"/>
  <c r="H112" i="36" s="1"/>
  <c r="H113" i="36" s="1"/>
  <c r="I111" i="36"/>
  <c r="I112" i="36" s="1"/>
  <c r="I113" i="36" s="1"/>
  <c r="C112" i="36"/>
  <c r="C113" i="36" s="1"/>
  <c r="E112" i="36"/>
  <c r="F112" i="36"/>
  <c r="F113" i="36" s="1"/>
  <c r="P171" i="36"/>
  <c r="C17" i="35"/>
  <c r="F8" i="41" s="1"/>
  <c r="I8" i="41" s="1"/>
  <c r="C18" i="35"/>
  <c r="C18" i="1" s="1"/>
  <c r="C62" i="35"/>
  <c r="C63" i="35" s="1"/>
  <c r="C64" i="35" s="1"/>
  <c r="D62" i="35"/>
  <c r="D63" i="35" s="1"/>
  <c r="F62" i="35"/>
  <c r="F63" i="35" s="1"/>
  <c r="I63" i="35" s="1"/>
  <c r="F91" i="35" s="1"/>
  <c r="F92" i="35" s="1"/>
  <c r="F93" i="35" s="1"/>
  <c r="C100" i="35"/>
  <c r="C101" i="35" s="1"/>
  <c r="D100" i="35"/>
  <c r="D101" i="35" s="1"/>
  <c r="F100" i="35"/>
  <c r="F101" i="35" s="1"/>
  <c r="C106" i="35"/>
  <c r="C107" i="35" s="1"/>
  <c r="D106" i="35"/>
  <c r="D107" i="35" s="1"/>
  <c r="F106" i="35"/>
  <c r="C112" i="35"/>
  <c r="D112" i="35"/>
  <c r="J148" i="35"/>
  <c r="K148" i="35"/>
  <c r="L148" i="35"/>
  <c r="J149" i="35"/>
  <c r="K149" i="35"/>
  <c r="L149" i="35"/>
  <c r="J150" i="35"/>
  <c r="K150" i="35"/>
  <c r="L150" i="35"/>
  <c r="J151" i="35"/>
  <c r="K151" i="35"/>
  <c r="L151" i="35"/>
  <c r="J152" i="35"/>
  <c r="K152" i="35"/>
  <c r="L152" i="35"/>
  <c r="J153" i="35"/>
  <c r="K153" i="35"/>
  <c r="L153" i="35"/>
  <c r="J154" i="35"/>
  <c r="K154" i="35"/>
  <c r="L154" i="35"/>
  <c r="J155" i="35"/>
  <c r="K155" i="35"/>
  <c r="L155" i="35"/>
  <c r="J156" i="35"/>
  <c r="K156" i="35"/>
  <c r="L156" i="35"/>
  <c r="J157" i="35"/>
  <c r="K157" i="35"/>
  <c r="L157" i="35"/>
  <c r="J158" i="35"/>
  <c r="K158" i="35"/>
  <c r="L158" i="35"/>
  <c r="J159" i="35"/>
  <c r="K159" i="35"/>
  <c r="L159" i="35"/>
  <c r="J160" i="35"/>
  <c r="K160" i="35"/>
  <c r="L160" i="35"/>
  <c r="J161" i="35"/>
  <c r="K161" i="35"/>
  <c r="L161" i="35"/>
  <c r="J162" i="35"/>
  <c r="K162" i="35"/>
  <c r="L162" i="35"/>
  <c r="J163" i="35"/>
  <c r="K163" i="35"/>
  <c r="L163" i="35"/>
  <c r="J164" i="35"/>
  <c r="K164" i="35"/>
  <c r="L164" i="35"/>
  <c r="J165" i="35"/>
  <c r="K165" i="35"/>
  <c r="L165" i="35"/>
  <c r="J166" i="35"/>
  <c r="K166" i="35"/>
  <c r="L166" i="35"/>
  <c r="J167" i="35"/>
  <c r="K167" i="35"/>
  <c r="L167" i="35"/>
  <c r="J168" i="35"/>
  <c r="K168" i="35"/>
  <c r="L168" i="35"/>
  <c r="J169" i="35"/>
  <c r="K169" i="35"/>
  <c r="L169" i="35"/>
  <c r="J170" i="35"/>
  <c r="K170" i="35"/>
  <c r="L170" i="35"/>
  <c r="J171" i="35"/>
  <c r="K171" i="35"/>
  <c r="L171" i="35"/>
  <c r="J172" i="35"/>
  <c r="K172" i="35"/>
  <c r="L172" i="35"/>
  <c r="M173" i="35"/>
  <c r="G62" i="2"/>
  <c r="D64" i="35"/>
  <c r="H63" i="35"/>
  <c r="D91" i="35" s="1"/>
  <c r="D92" i="35" s="1"/>
  <c r="D93" i="35" s="1"/>
  <c r="D97" i="1"/>
  <c r="D94" i="1"/>
  <c r="I223" i="2"/>
  <c r="I225" i="2"/>
  <c r="I227" i="2"/>
  <c r="I229" i="2"/>
  <c r="I231" i="2"/>
  <c r="I233" i="2"/>
  <c r="I235" i="2"/>
  <c r="I214" i="2"/>
  <c r="I208" i="2"/>
  <c r="I210" i="2"/>
  <c r="I212" i="2"/>
  <c r="I230" i="2"/>
  <c r="I216" i="2"/>
  <c r="I218" i="2"/>
  <c r="I228" i="2"/>
  <c r="I222" i="2"/>
  <c r="I224" i="2"/>
  <c r="I226" i="2"/>
  <c r="I236" i="2"/>
  <c r="I221" i="2"/>
  <c r="I209" i="2"/>
  <c r="I211" i="2"/>
  <c r="I220" i="2"/>
  <c r="I215" i="2"/>
  <c r="I217" i="2"/>
  <c r="I219" i="2"/>
  <c r="H64" i="35"/>
  <c r="D65" i="35"/>
  <c r="D163" i="2"/>
  <c r="E70" i="2" l="1"/>
  <c r="C70" i="2"/>
  <c r="G70" i="2"/>
  <c r="H70" i="2"/>
  <c r="H76" i="2" s="1"/>
  <c r="H205" i="2" s="1"/>
  <c r="H207" i="2" s="1"/>
  <c r="I41" i="40" s="1"/>
  <c r="I73" i="40" s="1"/>
  <c r="D108" i="2"/>
  <c r="D193" i="2"/>
  <c r="D96" i="1"/>
  <c r="H96" i="1" s="1"/>
  <c r="D92" i="1"/>
  <c r="G92" i="1" s="1"/>
  <c r="D164" i="2"/>
  <c r="G100" i="36"/>
  <c r="D131" i="2"/>
  <c r="C85" i="2"/>
  <c r="C89" i="2" s="1"/>
  <c r="D154" i="2"/>
  <c r="F71" i="1"/>
  <c r="K71" i="1"/>
  <c r="D181" i="2"/>
  <c r="D141" i="2"/>
  <c r="D137" i="2"/>
  <c r="D177" i="2"/>
  <c r="D88" i="1"/>
  <c r="J88" i="1" s="1"/>
  <c r="I93" i="1"/>
  <c r="I97" i="1"/>
  <c r="L89" i="1"/>
  <c r="E100" i="36"/>
  <c r="D91" i="1"/>
  <c r="H91" i="1" s="1"/>
  <c r="F61" i="36"/>
  <c r="F62" i="36" s="1"/>
  <c r="F63" i="36" s="1"/>
  <c r="F64" i="36" s="1"/>
  <c r="F65" i="36" s="1"/>
  <c r="F66" i="36" s="1"/>
  <c r="F67" i="36" s="1"/>
  <c r="F68" i="36" s="1"/>
  <c r="F69" i="36" s="1"/>
  <c r="F70" i="36" s="1"/>
  <c r="F71" i="36" s="1"/>
  <c r="F72" i="36" s="1"/>
  <c r="F73" i="36" s="1"/>
  <c r="F74" i="36" s="1"/>
  <c r="F75" i="36" s="1"/>
  <c r="F76" i="36" s="1"/>
  <c r="F77" i="36" s="1"/>
  <c r="F78" i="36" s="1"/>
  <c r="F79" i="36" s="1"/>
  <c r="F80" i="36" s="1"/>
  <c r="F81" i="36" s="1"/>
  <c r="F82" i="36" s="1"/>
  <c r="F83" i="36" s="1"/>
  <c r="F84" i="36" s="1"/>
  <c r="F85" i="36" s="1"/>
  <c r="F86" i="36" s="1"/>
  <c r="E85" i="2"/>
  <c r="D133" i="2"/>
  <c r="D121" i="2"/>
  <c r="D102" i="2"/>
  <c r="D112" i="2"/>
  <c r="D107" i="2"/>
  <c r="D166" i="2"/>
  <c r="D138" i="2"/>
  <c r="D109" i="2"/>
  <c r="D175" i="2"/>
  <c r="D90" i="1"/>
  <c r="H90" i="1" s="1"/>
  <c r="J96" i="1"/>
  <c r="D98" i="1"/>
  <c r="F98" i="1" s="1"/>
  <c r="K97" i="1"/>
  <c r="H97" i="1"/>
  <c r="L96" i="1"/>
  <c r="C65" i="35"/>
  <c r="C66" i="35" s="1"/>
  <c r="G66" i="35" s="1"/>
  <c r="G64" i="35"/>
  <c r="G63" i="35"/>
  <c r="C91" i="35" s="1"/>
  <c r="C92" i="35" s="1"/>
  <c r="C93" i="35" s="1"/>
  <c r="G97" i="1"/>
  <c r="F97" i="1"/>
  <c r="D95" i="1"/>
  <c r="K95" i="1" s="1"/>
  <c r="C13" i="1"/>
  <c r="C84" i="2"/>
  <c r="C87" i="2" s="1"/>
  <c r="C91" i="2" s="1"/>
  <c r="D146" i="1"/>
  <c r="G80" i="1"/>
  <c r="G83" i="1" s="1"/>
  <c r="C56" i="2" s="1"/>
  <c r="D100" i="2"/>
  <c r="D184" i="2"/>
  <c r="D170" i="2"/>
  <c r="D171" i="2"/>
  <c r="D158" i="2"/>
  <c r="D126" i="2"/>
  <c r="K80" i="1"/>
  <c r="K83" i="1" s="1"/>
  <c r="G56" i="2" s="1"/>
  <c r="D180" i="2"/>
  <c r="D106" i="2"/>
  <c r="D139" i="2"/>
  <c r="D174" i="2"/>
  <c r="D124" i="2"/>
  <c r="D191" i="2"/>
  <c r="D147" i="2"/>
  <c r="D116" i="2"/>
  <c r="D104" i="2"/>
  <c r="D105" i="2"/>
  <c r="D189" i="2"/>
  <c r="D176" i="2"/>
  <c r="D159" i="2"/>
  <c r="D151" i="2"/>
  <c r="D114" i="2"/>
  <c r="D148" i="2"/>
  <c r="D182" i="2"/>
  <c r="D140" i="2"/>
  <c r="D101" i="2"/>
  <c r="D123" i="2"/>
  <c r="D156" i="2"/>
  <c r="D190" i="2"/>
  <c r="D157" i="2"/>
  <c r="H8" i="41"/>
  <c r="J8" i="41"/>
  <c r="J15" i="41" s="1"/>
  <c r="J92" i="1"/>
  <c r="H92" i="1"/>
  <c r="E103" i="38"/>
  <c r="L80" i="1"/>
  <c r="L83" i="1" s="1"/>
  <c r="H56" i="2" s="1"/>
  <c r="I213" i="2"/>
  <c r="G93" i="1"/>
  <c r="K89" i="1"/>
  <c r="G89" i="1"/>
  <c r="L59" i="38"/>
  <c r="E87" i="38" s="1"/>
  <c r="E88" i="38" s="1"/>
  <c r="E89" i="38" s="1"/>
  <c r="H10" i="41"/>
  <c r="H93" i="1"/>
  <c r="F93" i="1"/>
  <c r="I89" i="1"/>
  <c r="K93" i="1"/>
  <c r="J93" i="1"/>
  <c r="L93" i="1"/>
  <c r="H89" i="1"/>
  <c r="F89" i="1"/>
  <c r="J89" i="1"/>
  <c r="F107" i="35"/>
  <c r="I80" i="1"/>
  <c r="I83" i="1" s="1"/>
  <c r="I65" i="1"/>
  <c r="I71" i="1" s="1"/>
  <c r="J65" i="1"/>
  <c r="J71" i="1" s="1"/>
  <c r="C76" i="2"/>
  <c r="C205" i="2" s="1"/>
  <c r="C207" i="2" s="1"/>
  <c r="D41" i="40" s="1"/>
  <c r="D73" i="40" s="1"/>
  <c r="F9" i="41"/>
  <c r="H9" i="41" s="1"/>
  <c r="C19" i="35"/>
  <c r="D130" i="2"/>
  <c r="D197" i="2"/>
  <c r="D150" i="2"/>
  <c r="D120" i="2"/>
  <c r="D188" i="2"/>
  <c r="D155" i="2"/>
  <c r="D125" i="2"/>
  <c r="D192" i="2"/>
  <c r="D142" i="2"/>
  <c r="D146" i="2"/>
  <c r="D167" i="2"/>
  <c r="D110" i="2"/>
  <c r="D127" i="2"/>
  <c r="D143" i="2"/>
  <c r="D160" i="2"/>
  <c r="D178" i="2"/>
  <c r="D194" i="2"/>
  <c r="D111" i="2"/>
  <c r="D128" i="2"/>
  <c r="D144" i="2"/>
  <c r="D161" i="2"/>
  <c r="D179" i="2"/>
  <c r="D195" i="2"/>
  <c r="D198" i="2"/>
  <c r="D115" i="2"/>
  <c r="D132" i="2"/>
  <c r="D149" i="2"/>
  <c r="D165" i="2"/>
  <c r="D183" i="2"/>
  <c r="D199" i="2"/>
  <c r="D118" i="2"/>
  <c r="D135" i="2"/>
  <c r="D152" i="2"/>
  <c r="D168" i="2"/>
  <c r="D186" i="2"/>
  <c r="D103" i="2"/>
  <c r="D119" i="2"/>
  <c r="D136" i="2"/>
  <c r="D153" i="2"/>
  <c r="D169" i="2"/>
  <c r="D187" i="2"/>
  <c r="G66" i="2"/>
  <c r="D113" i="2"/>
  <c r="D129" i="2"/>
  <c r="F80" i="1"/>
  <c r="F83" i="1" s="1"/>
  <c r="F60" i="1"/>
  <c r="H65" i="35"/>
  <c r="D66" i="35"/>
  <c r="L94" i="1"/>
  <c r="G94" i="1"/>
  <c r="F94" i="1"/>
  <c r="K94" i="1"/>
  <c r="H94" i="1"/>
  <c r="I94" i="1"/>
  <c r="G96" i="1"/>
  <c r="I96" i="1"/>
  <c r="J97" i="1"/>
  <c r="L97" i="1"/>
  <c r="O148" i="35"/>
  <c r="E84" i="2"/>
  <c r="H60" i="1"/>
  <c r="C100" i="36"/>
  <c r="H100" i="36"/>
  <c r="F100" i="36"/>
  <c r="F64" i="35"/>
  <c r="I100" i="36"/>
  <c r="D103" i="38"/>
  <c r="I103" i="38"/>
  <c r="G103" i="38"/>
  <c r="C103" i="38"/>
  <c r="D97" i="38"/>
  <c r="J59" i="38"/>
  <c r="C87" i="38" s="1"/>
  <c r="C88" i="38" s="1"/>
  <c r="C89" i="38" s="1"/>
  <c r="N59" i="38"/>
  <c r="F87" i="38" s="1"/>
  <c r="F88" i="38" s="1"/>
  <c r="F89" i="38" s="1"/>
  <c r="K59" i="38"/>
  <c r="D87" i="38" s="1"/>
  <c r="D88" i="38" s="1"/>
  <c r="D89" i="38" s="1"/>
  <c r="R59" i="38"/>
  <c r="E97" i="38"/>
  <c r="I60" i="38"/>
  <c r="O59" i="38"/>
  <c r="H87" i="38" s="1"/>
  <c r="H88" i="38" s="1"/>
  <c r="H89" i="38" s="1"/>
  <c r="D64" i="2"/>
  <c r="D70" i="2" s="1"/>
  <c r="H80" i="1"/>
  <c r="H83" i="1" s="1"/>
  <c r="H71" i="1"/>
  <c r="L71" i="1"/>
  <c r="E76" i="2"/>
  <c r="E205" i="2" s="1"/>
  <c r="E207" i="2" s="1"/>
  <c r="F41" i="40" s="1"/>
  <c r="B64" i="2"/>
  <c r="I234" i="2"/>
  <c r="I207" i="2"/>
  <c r="D162" i="2"/>
  <c r="D134" i="2"/>
  <c r="D117" i="2"/>
  <c r="D196" i="2"/>
  <c r="J94" i="1"/>
  <c r="E89" i="2" l="1"/>
  <c r="D76" i="2"/>
  <c r="D205" i="2" s="1"/>
  <c r="D207" i="2" s="1"/>
  <c r="E41" i="40" s="1"/>
  <c r="G76" i="2"/>
  <c r="G205" i="2" s="1"/>
  <c r="G207" i="2" s="1"/>
  <c r="H41" i="40" s="1"/>
  <c r="H73" i="40" s="1"/>
  <c r="B70" i="2"/>
  <c r="B76" i="2" s="1"/>
  <c r="G65" i="35"/>
  <c r="L92" i="1"/>
  <c r="K96" i="1"/>
  <c r="K92" i="1"/>
  <c r="I92" i="1"/>
  <c r="K98" i="1"/>
  <c r="F92" i="1"/>
  <c r="F96" i="1"/>
  <c r="J9" i="41"/>
  <c r="F90" i="1"/>
  <c r="I90" i="1"/>
  <c r="F91" i="1"/>
  <c r="I88" i="1"/>
  <c r="G88" i="1"/>
  <c r="H88" i="1"/>
  <c r="K88" i="1"/>
  <c r="F88" i="1"/>
  <c r="I91" i="1"/>
  <c r="K91" i="1"/>
  <c r="G91" i="1"/>
  <c r="J91" i="1"/>
  <c r="L91" i="1"/>
  <c r="L88" i="1"/>
  <c r="F17" i="35"/>
  <c r="L98" i="1"/>
  <c r="H98" i="1"/>
  <c r="G98" i="1"/>
  <c r="I98" i="1"/>
  <c r="C67" i="35"/>
  <c r="C68" i="35" s="1"/>
  <c r="G90" i="1"/>
  <c r="K90" i="1"/>
  <c r="L90" i="1"/>
  <c r="F95" i="1"/>
  <c r="H95" i="1"/>
  <c r="I95" i="1"/>
  <c r="G95" i="1"/>
  <c r="L95" i="1"/>
  <c r="J95" i="1"/>
  <c r="I9" i="41"/>
  <c r="I11" i="41" s="1"/>
  <c r="I21" i="41" s="1"/>
  <c r="C19" i="1"/>
  <c r="E18" i="1" s="1"/>
  <c r="F18" i="35"/>
  <c r="F113" i="35"/>
  <c r="F19" i="35"/>
  <c r="C113" i="35"/>
  <c r="C114" i="35" s="1"/>
  <c r="D113" i="35"/>
  <c r="D114" i="35" s="1"/>
  <c r="B85" i="2"/>
  <c r="B84" i="2"/>
  <c r="C146" i="1"/>
  <c r="D56" i="2"/>
  <c r="J16" i="41"/>
  <c r="E73" i="40"/>
  <c r="L60" i="38"/>
  <c r="R60" i="38"/>
  <c r="M60" i="38"/>
  <c r="I61" i="38"/>
  <c r="O60" i="38"/>
  <c r="J60" i="38"/>
  <c r="K60" i="38"/>
  <c r="N60" i="38"/>
  <c r="O149" i="35"/>
  <c r="F65" i="35"/>
  <c r="I64" i="35"/>
  <c r="J11" i="41"/>
  <c r="H66" i="35"/>
  <c r="D67" i="35"/>
  <c r="E56" i="2"/>
  <c r="E146" i="1"/>
  <c r="D84" i="2"/>
  <c r="D85" i="2"/>
  <c r="D77" i="2"/>
  <c r="F73" i="40"/>
  <c r="B56" i="2"/>
  <c r="E87" i="2"/>
  <c r="E91" i="2" s="1"/>
  <c r="H11" i="41"/>
  <c r="H21" i="41" s="1"/>
  <c r="E77" i="2" l="1"/>
  <c r="C77" i="2"/>
  <c r="B205" i="2"/>
  <c r="B207" i="2" s="1"/>
  <c r="C41" i="40" s="1"/>
  <c r="C73" i="40" s="1"/>
  <c r="B77" i="2"/>
  <c r="G67" i="35"/>
  <c r="H99" i="1"/>
  <c r="D46" i="2" s="1"/>
  <c r="D54" i="2" s="1"/>
  <c r="F99" i="1"/>
  <c r="B46" i="2" s="1"/>
  <c r="B54" i="2" s="1"/>
  <c r="K99" i="1"/>
  <c r="G46" i="2" s="1"/>
  <c r="G54" i="2" s="1"/>
  <c r="I99" i="1"/>
  <c r="E46" i="2" s="1"/>
  <c r="E54" i="2" s="1"/>
  <c r="K18" i="37"/>
  <c r="K5" i="37" s="1"/>
  <c r="G99" i="1"/>
  <c r="C46" i="2" s="1"/>
  <c r="C54" i="2" s="1"/>
  <c r="L99" i="1"/>
  <c r="H46" i="2" s="1"/>
  <c r="H54" i="2" s="1"/>
  <c r="G197" i="1"/>
  <c r="D197" i="1"/>
  <c r="L39" i="1"/>
  <c r="E19" i="1"/>
  <c r="C197" i="1"/>
  <c r="E18" i="37"/>
  <c r="F34" i="1" s="1"/>
  <c r="F39" i="1" s="1"/>
  <c r="K39" i="1"/>
  <c r="E197" i="1"/>
  <c r="F18" i="37"/>
  <c r="F5" i="37" s="1"/>
  <c r="I18" i="37"/>
  <c r="J18" i="37"/>
  <c r="K41" i="1" s="1"/>
  <c r="H196" i="1" s="1"/>
  <c r="H197" i="1" s="1"/>
  <c r="E86" i="2"/>
  <c r="E90" i="2" s="1"/>
  <c r="H18" i="37"/>
  <c r="I34" i="1" s="1"/>
  <c r="I39" i="1" s="1"/>
  <c r="I42" i="1" s="1"/>
  <c r="I45" i="1" s="1"/>
  <c r="E13" i="1"/>
  <c r="F197" i="1"/>
  <c r="G68" i="35"/>
  <c r="C69" i="35"/>
  <c r="G18" i="37"/>
  <c r="H34" i="1" s="1"/>
  <c r="H39" i="1" s="1"/>
  <c r="C86" i="2"/>
  <c r="C90" i="2" s="1"/>
  <c r="B86" i="2"/>
  <c r="E88" i="2"/>
  <c r="C88" i="2"/>
  <c r="D86" i="2"/>
  <c r="D90" i="2" s="1"/>
  <c r="D87" i="2"/>
  <c r="D91" i="2" s="1"/>
  <c r="D68" i="35"/>
  <c r="H67" i="35"/>
  <c r="I65" i="35"/>
  <c r="F66" i="35"/>
  <c r="O150" i="35"/>
  <c r="D88" i="2"/>
  <c r="D89" i="2"/>
  <c r="I22" i="41"/>
  <c r="I20" i="41"/>
  <c r="H22" i="41"/>
  <c r="H20" i="41"/>
  <c r="J20" i="41"/>
  <c r="J22" i="41"/>
  <c r="J61" i="38"/>
  <c r="N61" i="38"/>
  <c r="O61" i="38"/>
  <c r="R61" i="38"/>
  <c r="I62" i="38"/>
  <c r="K61" i="38"/>
  <c r="L61" i="38"/>
  <c r="M61" i="38"/>
  <c r="J21" i="41"/>
  <c r="P73" i="40"/>
  <c r="N73" i="40"/>
  <c r="M73" i="40"/>
  <c r="L73" i="40"/>
  <c r="K73" i="40"/>
  <c r="Q73" i="40"/>
  <c r="J34" i="1" l="1"/>
  <c r="J39" i="1" s="1"/>
  <c r="J42" i="1" s="1"/>
  <c r="J45" i="1" s="1"/>
  <c r="J66" i="1" s="1"/>
  <c r="C28" i="35"/>
  <c r="J5" i="37"/>
  <c r="G73" i="2" s="1"/>
  <c r="G75" i="2" s="1"/>
  <c r="G204" i="2" s="1"/>
  <c r="H39" i="40" s="1"/>
  <c r="I5" i="37"/>
  <c r="E5" i="37"/>
  <c r="E8" i="37" s="1"/>
  <c r="E11" i="37" s="1"/>
  <c r="H5" i="37"/>
  <c r="H8" i="37" s="1"/>
  <c r="H11" i="37" s="1"/>
  <c r="G34" i="1"/>
  <c r="G39" i="1" s="1"/>
  <c r="G40" i="1" s="1"/>
  <c r="C70" i="35"/>
  <c r="G69" i="35"/>
  <c r="L41" i="1"/>
  <c r="I196" i="1" s="1"/>
  <c r="I197" i="1" s="1"/>
  <c r="G5" i="37"/>
  <c r="D73" i="2" s="1"/>
  <c r="D75" i="2" s="1"/>
  <c r="D204" i="2" s="1"/>
  <c r="E39" i="40" s="1"/>
  <c r="M104" i="40" s="1"/>
  <c r="L62" i="38"/>
  <c r="R62" i="38"/>
  <c r="K62" i="38"/>
  <c r="O62" i="38"/>
  <c r="I63" i="38"/>
  <c r="J62" i="38"/>
  <c r="M62" i="38"/>
  <c r="N62" i="38"/>
  <c r="F8" i="37"/>
  <c r="F11" i="37" s="1"/>
  <c r="C73" i="2"/>
  <c r="C75" i="2" s="1"/>
  <c r="C204" i="2" s="1"/>
  <c r="D39" i="40" s="1"/>
  <c r="L104" i="40" s="1"/>
  <c r="K8" i="37"/>
  <c r="K11" i="37" s="1"/>
  <c r="H73" i="2"/>
  <c r="H75" i="2" s="1"/>
  <c r="H204" i="2" s="1"/>
  <c r="I39" i="40" s="1"/>
  <c r="P104" i="40" s="1"/>
  <c r="O151" i="35"/>
  <c r="F67" i="35"/>
  <c r="I66" i="35"/>
  <c r="H45" i="1"/>
  <c r="H40" i="1"/>
  <c r="K42" i="1"/>
  <c r="I66" i="1"/>
  <c r="F190" i="1"/>
  <c r="F184" i="1"/>
  <c r="I68" i="1"/>
  <c r="I69" i="1" s="1"/>
  <c r="D69" i="35"/>
  <c r="H68" i="35"/>
  <c r="F40" i="1"/>
  <c r="F45" i="1"/>
  <c r="J16" i="36" l="1"/>
  <c r="J24" i="36" s="1"/>
  <c r="G190" i="1"/>
  <c r="J68" i="1"/>
  <c r="J69" i="1" s="1"/>
  <c r="G184" i="1"/>
  <c r="I3" i="37"/>
  <c r="I8" i="37" s="1"/>
  <c r="I11" i="37" s="1"/>
  <c r="B73" i="2"/>
  <c r="B75" i="2" s="1"/>
  <c r="B204" i="2" s="1"/>
  <c r="C39" i="40" s="1"/>
  <c r="K104" i="40" s="1"/>
  <c r="F73" i="2"/>
  <c r="F75" i="2" s="1"/>
  <c r="F204" i="2" s="1"/>
  <c r="G39" i="40" s="1"/>
  <c r="O104" i="40" s="1"/>
  <c r="J8" i="37"/>
  <c r="J11" i="37" s="1"/>
  <c r="K11" i="36" s="1"/>
  <c r="G45" i="1"/>
  <c r="G68" i="1" s="1"/>
  <c r="G76" i="1" s="1"/>
  <c r="G69" i="1" s="1"/>
  <c r="E73" i="2"/>
  <c r="E75" i="2" s="1"/>
  <c r="E204" i="2" s="1"/>
  <c r="F39" i="40" s="1"/>
  <c r="N104" i="40" s="1"/>
  <c r="L42" i="1"/>
  <c r="L45" i="1" s="1"/>
  <c r="I190" i="1" s="1"/>
  <c r="G70" i="35"/>
  <c r="C71" i="35"/>
  <c r="G8" i="37"/>
  <c r="G11" i="37" s="1"/>
  <c r="H11" i="38" s="1"/>
  <c r="J74" i="1"/>
  <c r="K45" i="1"/>
  <c r="K66" i="1"/>
  <c r="K74" i="1" s="1"/>
  <c r="I67" i="35"/>
  <c r="O152" i="35"/>
  <c r="F68" i="35"/>
  <c r="C184" i="1"/>
  <c r="F66" i="1"/>
  <c r="F68" i="1"/>
  <c r="F76" i="1" s="1"/>
  <c r="F69" i="1" s="1"/>
  <c r="C190" i="1"/>
  <c r="L11" i="38"/>
  <c r="L11" i="36"/>
  <c r="L26" i="1"/>
  <c r="I26" i="1"/>
  <c r="I11" i="36"/>
  <c r="E45" i="2" s="1"/>
  <c r="I11" i="38"/>
  <c r="H68" i="1"/>
  <c r="H76" i="1" s="1"/>
  <c r="H69" i="1" s="1"/>
  <c r="E184" i="1"/>
  <c r="H66" i="1"/>
  <c r="E190" i="1"/>
  <c r="H69" i="35"/>
  <c r="D70" i="35"/>
  <c r="I74" i="1"/>
  <c r="F147" i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1" i="38"/>
  <c r="F11" i="36"/>
  <c r="B45" i="2" s="1"/>
  <c r="F26" i="1"/>
  <c r="G11" i="38"/>
  <c r="G11" i="36"/>
  <c r="C45" i="2" s="1"/>
  <c r="G26" i="1"/>
  <c r="J63" i="38"/>
  <c r="N63" i="38"/>
  <c r="M63" i="38"/>
  <c r="R63" i="38"/>
  <c r="I64" i="38"/>
  <c r="K63" i="38"/>
  <c r="L63" i="38"/>
  <c r="O63" i="38"/>
  <c r="J25" i="36" l="1"/>
  <c r="F69" i="2"/>
  <c r="J59" i="1"/>
  <c r="J98" i="1" s="1"/>
  <c r="J11" i="36"/>
  <c r="F45" i="2" s="1"/>
  <c r="F53" i="2" s="1"/>
  <c r="J26" i="1"/>
  <c r="J11" i="38"/>
  <c r="J51" i="1"/>
  <c r="G66" i="1"/>
  <c r="G74" i="1" s="1"/>
  <c r="D184" i="1"/>
  <c r="D190" i="1"/>
  <c r="D191" i="1" s="1"/>
  <c r="K26" i="1"/>
  <c r="K11" i="38"/>
  <c r="I184" i="1"/>
  <c r="I185" i="1" s="1"/>
  <c r="L66" i="1"/>
  <c r="L74" i="1" s="1"/>
  <c r="H55" i="2" s="1"/>
  <c r="H93" i="2" s="1"/>
  <c r="L68" i="1"/>
  <c r="L76" i="1" s="1"/>
  <c r="L69" i="1" s="1"/>
  <c r="C72" i="35"/>
  <c r="G71" i="35"/>
  <c r="H26" i="1"/>
  <c r="H11" i="36"/>
  <c r="D45" i="2" s="1"/>
  <c r="D83" i="2" s="1"/>
  <c r="E55" i="2"/>
  <c r="I103" i="1"/>
  <c r="E47" i="2" s="1"/>
  <c r="I101" i="1"/>
  <c r="E83" i="2"/>
  <c r="E53" i="2"/>
  <c r="F74" i="1"/>
  <c r="C147" i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G55" i="2"/>
  <c r="K103" i="1"/>
  <c r="G47" i="2" s="1"/>
  <c r="K101" i="1"/>
  <c r="K25" i="36"/>
  <c r="G45" i="2"/>
  <c r="C53" i="2"/>
  <c r="C83" i="2"/>
  <c r="H45" i="2"/>
  <c r="L25" i="36"/>
  <c r="L64" i="38"/>
  <c r="R64" i="38"/>
  <c r="J64" i="38"/>
  <c r="O64" i="38"/>
  <c r="I65" i="38"/>
  <c r="K64" i="38"/>
  <c r="M64" i="38"/>
  <c r="N64" i="38"/>
  <c r="B53" i="2"/>
  <c r="B83" i="2"/>
  <c r="H70" i="35"/>
  <c r="D71" i="35"/>
  <c r="O153" i="35"/>
  <c r="I68" i="35"/>
  <c r="F69" i="35"/>
  <c r="H184" i="1"/>
  <c r="H190" i="1"/>
  <c r="H191" i="1" s="1"/>
  <c r="K68" i="1"/>
  <c r="K76" i="1" s="1"/>
  <c r="K69" i="1" s="1"/>
  <c r="H74" i="1"/>
  <c r="E147" i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F55" i="2"/>
  <c r="D147" i="1" l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F83" i="2"/>
  <c r="G191" i="1"/>
  <c r="C191" i="1"/>
  <c r="F62" i="2"/>
  <c r="J80" i="1"/>
  <c r="J83" i="1" s="1"/>
  <c r="J90" i="1"/>
  <c r="J99" i="1" s="1"/>
  <c r="F191" i="1"/>
  <c r="G61" i="36"/>
  <c r="G62" i="36" s="1"/>
  <c r="G63" i="36" s="1"/>
  <c r="G64" i="36" s="1"/>
  <c r="G65" i="36" s="1"/>
  <c r="G66" i="36" s="1"/>
  <c r="G67" i="36" s="1"/>
  <c r="G68" i="36" s="1"/>
  <c r="G69" i="36" s="1"/>
  <c r="J60" i="1"/>
  <c r="E191" i="1"/>
  <c r="G185" i="1"/>
  <c r="I191" i="1"/>
  <c r="H57" i="2"/>
  <c r="I93" i="2"/>
  <c r="H185" i="1"/>
  <c r="C185" i="1"/>
  <c r="L101" i="1"/>
  <c r="H48" i="2" s="1"/>
  <c r="F185" i="1"/>
  <c r="E185" i="1"/>
  <c r="D185" i="1"/>
  <c r="L103" i="1"/>
  <c r="H47" i="2" s="1"/>
  <c r="H78" i="2" s="1"/>
  <c r="C73" i="35"/>
  <c r="G72" i="35"/>
  <c r="D53" i="2"/>
  <c r="D59" i="2" s="1"/>
  <c r="H71" i="35"/>
  <c r="D72" i="35"/>
  <c r="H198" i="1"/>
  <c r="G48" i="2"/>
  <c r="D55" i="2"/>
  <c r="H103" i="1"/>
  <c r="D47" i="2" s="1"/>
  <c r="H101" i="1"/>
  <c r="D48" i="2" s="1"/>
  <c r="O154" i="35"/>
  <c r="F70" i="35"/>
  <c r="I69" i="35"/>
  <c r="H83" i="2"/>
  <c r="I83" i="2" s="1"/>
  <c r="H53" i="2"/>
  <c r="C80" i="2"/>
  <c r="C59" i="2"/>
  <c r="G78" i="2"/>
  <c r="G206" i="2"/>
  <c r="H40" i="40" s="1"/>
  <c r="H42" i="40" s="1"/>
  <c r="E78" i="2"/>
  <c r="E206" i="2"/>
  <c r="F40" i="40" s="1"/>
  <c r="F42" i="40" s="1"/>
  <c r="G53" i="2"/>
  <c r="G83" i="2"/>
  <c r="G93" i="2"/>
  <c r="G57" i="2"/>
  <c r="B55" i="2"/>
  <c r="F101" i="1"/>
  <c r="F103" i="1"/>
  <c r="E93" i="2"/>
  <c r="E57" i="2"/>
  <c r="I61" i="36"/>
  <c r="I62" i="36" s="1"/>
  <c r="L60" i="1"/>
  <c r="F198" i="1"/>
  <c r="E48" i="2"/>
  <c r="F80" i="2"/>
  <c r="F59" i="2"/>
  <c r="B80" i="2"/>
  <c r="B59" i="2"/>
  <c r="J65" i="38"/>
  <c r="N65" i="38"/>
  <c r="L65" i="38"/>
  <c r="I66" i="38"/>
  <c r="R65" i="38"/>
  <c r="K65" i="38"/>
  <c r="M65" i="38"/>
  <c r="O65" i="38"/>
  <c r="G103" i="1"/>
  <c r="C47" i="2" s="1"/>
  <c r="C55" i="2"/>
  <c r="G101" i="1"/>
  <c r="K60" i="1"/>
  <c r="H61" i="36"/>
  <c r="H62" i="36" s="1"/>
  <c r="H63" i="36" s="1"/>
  <c r="H64" i="36" s="1"/>
  <c r="H65" i="36" s="1"/>
  <c r="H66" i="36" s="1"/>
  <c r="H67" i="36" s="1"/>
  <c r="H68" i="36" s="1"/>
  <c r="H69" i="36" s="1"/>
  <c r="E59" i="2"/>
  <c r="E80" i="2"/>
  <c r="F70" i="2" l="1"/>
  <c r="F76" i="2" s="1"/>
  <c r="F46" i="2"/>
  <c r="F54" i="2" s="1"/>
  <c r="J101" i="1"/>
  <c r="F85" i="2"/>
  <c r="F84" i="2"/>
  <c r="G146" i="1"/>
  <c r="G147" i="1" s="1"/>
  <c r="G148" i="1" s="1"/>
  <c r="G149" i="1" s="1"/>
  <c r="G150" i="1" s="1"/>
  <c r="G151" i="1" s="1"/>
  <c r="G152" i="1" s="1"/>
  <c r="G153" i="1" s="1"/>
  <c r="F56" i="2"/>
  <c r="F93" i="2" s="1"/>
  <c r="F95" i="2" s="1"/>
  <c r="J103" i="1"/>
  <c r="F47" i="2" s="1"/>
  <c r="H206" i="2"/>
  <c r="I40" i="40" s="1"/>
  <c r="I42" i="40" s="1"/>
  <c r="I43" i="40" s="1"/>
  <c r="I44" i="40" s="1"/>
  <c r="I45" i="40" s="1"/>
  <c r="I46" i="40" s="1"/>
  <c r="I47" i="40" s="1"/>
  <c r="I48" i="40" s="1"/>
  <c r="I49" i="40" s="1"/>
  <c r="I50" i="40" s="1"/>
  <c r="I51" i="40" s="1"/>
  <c r="I52" i="40" s="1"/>
  <c r="I53" i="40" s="1"/>
  <c r="I54" i="40" s="1"/>
  <c r="I55" i="40" s="1"/>
  <c r="I56" i="40" s="1"/>
  <c r="I57" i="40" s="1"/>
  <c r="I58" i="40" s="1"/>
  <c r="I59" i="40" s="1"/>
  <c r="I60" i="40" s="1"/>
  <c r="I61" i="40" s="1"/>
  <c r="I62" i="40" s="1"/>
  <c r="I63" i="40" s="1"/>
  <c r="I64" i="40" s="1"/>
  <c r="I65" i="40" s="1"/>
  <c r="I66" i="40" s="1"/>
  <c r="I67" i="40" s="1"/>
  <c r="I68" i="40" s="1"/>
  <c r="I69" i="40" s="1"/>
  <c r="I70" i="40" s="1"/>
  <c r="I71" i="40" s="1"/>
  <c r="I198" i="1"/>
  <c r="G73" i="35"/>
  <c r="C74" i="35"/>
  <c r="D80" i="2"/>
  <c r="E79" i="2"/>
  <c r="D206" i="2"/>
  <c r="E40" i="40" s="1"/>
  <c r="E42" i="40" s="1"/>
  <c r="D78" i="2"/>
  <c r="D79" i="2" s="1"/>
  <c r="C206" i="2"/>
  <c r="D40" i="40" s="1"/>
  <c r="D42" i="40" s="1"/>
  <c r="C78" i="2"/>
  <c r="C79" i="2" s="1"/>
  <c r="B47" i="2"/>
  <c r="F107" i="1"/>
  <c r="O155" i="35"/>
  <c r="I70" i="35"/>
  <c r="F71" i="35"/>
  <c r="D93" i="2"/>
  <c r="D57" i="2"/>
  <c r="C93" i="2"/>
  <c r="C57" i="2"/>
  <c r="F43" i="40"/>
  <c r="F44" i="40" s="1"/>
  <c r="F45" i="40" s="1"/>
  <c r="F46" i="40" s="1"/>
  <c r="F47" i="40" s="1"/>
  <c r="F48" i="40" s="1"/>
  <c r="F49" i="40" s="1"/>
  <c r="F50" i="40" s="1"/>
  <c r="F51" i="40" s="1"/>
  <c r="F52" i="40" s="1"/>
  <c r="F53" i="40" s="1"/>
  <c r="F54" i="40" s="1"/>
  <c r="F55" i="40" s="1"/>
  <c r="F56" i="40" s="1"/>
  <c r="F57" i="40" s="1"/>
  <c r="F58" i="40" s="1"/>
  <c r="F59" i="40" s="1"/>
  <c r="F60" i="40" s="1"/>
  <c r="F61" i="40" s="1"/>
  <c r="F62" i="40" s="1"/>
  <c r="F63" i="40" s="1"/>
  <c r="F64" i="40" s="1"/>
  <c r="F65" i="40" s="1"/>
  <c r="F66" i="40" s="1"/>
  <c r="F67" i="40" s="1"/>
  <c r="F68" i="40" s="1"/>
  <c r="F69" i="40" s="1"/>
  <c r="F70" i="40" s="1"/>
  <c r="F71" i="40" s="1"/>
  <c r="F74" i="40"/>
  <c r="I85" i="2"/>
  <c r="I146" i="1"/>
  <c r="I147" i="1" s="1"/>
  <c r="F106" i="1"/>
  <c r="I84" i="2"/>
  <c r="H85" i="2"/>
  <c r="H84" i="2"/>
  <c r="F108" i="1"/>
  <c r="F109" i="1" s="1"/>
  <c r="B48" i="2"/>
  <c r="C198" i="1"/>
  <c r="H43" i="40"/>
  <c r="H44" i="40" s="1"/>
  <c r="H45" i="40" s="1"/>
  <c r="H46" i="40" s="1"/>
  <c r="H47" i="40" s="1"/>
  <c r="H48" i="40" s="1"/>
  <c r="H49" i="40" s="1"/>
  <c r="H50" i="40" s="1"/>
  <c r="H51" i="40" s="1"/>
  <c r="H52" i="40" s="1"/>
  <c r="H53" i="40" s="1"/>
  <c r="H54" i="40" s="1"/>
  <c r="H55" i="40" s="1"/>
  <c r="H56" i="40" s="1"/>
  <c r="H57" i="40" s="1"/>
  <c r="H58" i="40" s="1"/>
  <c r="H59" i="40" s="1"/>
  <c r="H60" i="40" s="1"/>
  <c r="H61" i="40" s="1"/>
  <c r="H62" i="40" s="1"/>
  <c r="H63" i="40" s="1"/>
  <c r="H64" i="40" s="1"/>
  <c r="H65" i="40" s="1"/>
  <c r="H66" i="40" s="1"/>
  <c r="H67" i="40" s="1"/>
  <c r="H68" i="40" s="1"/>
  <c r="H69" i="40" s="1"/>
  <c r="H70" i="40" s="1"/>
  <c r="H71" i="40" s="1"/>
  <c r="H74" i="40"/>
  <c r="H59" i="2"/>
  <c r="H80" i="2"/>
  <c r="D73" i="35"/>
  <c r="H72" i="35"/>
  <c r="H146" i="1"/>
  <c r="H147" i="1" s="1"/>
  <c r="H148" i="1" s="1"/>
  <c r="H149" i="1" s="1"/>
  <c r="H150" i="1" s="1"/>
  <c r="H151" i="1" s="1"/>
  <c r="H152" i="1" s="1"/>
  <c r="H153" i="1" s="1"/>
  <c r="H154" i="1" s="1"/>
  <c r="G85" i="2"/>
  <c r="G89" i="2" s="1"/>
  <c r="G84" i="2"/>
  <c r="L66" i="38"/>
  <c r="R66" i="38"/>
  <c r="N66" i="38"/>
  <c r="J66" i="38"/>
  <c r="I67" i="38"/>
  <c r="K66" i="38"/>
  <c r="M66" i="38"/>
  <c r="O66" i="38"/>
  <c r="C48" i="2"/>
  <c r="D198" i="1"/>
  <c r="L62" i="36"/>
  <c r="E90" i="36" s="1"/>
  <c r="E91" i="36" s="1"/>
  <c r="E92" i="36" s="1"/>
  <c r="J62" i="36"/>
  <c r="C90" i="36" s="1"/>
  <c r="C91" i="36" s="1"/>
  <c r="C92" i="36" s="1"/>
  <c r="I63" i="36"/>
  <c r="K62" i="36"/>
  <c r="R146" i="36"/>
  <c r="N146" i="36"/>
  <c r="F90" i="36" s="1"/>
  <c r="F91" i="36" s="1"/>
  <c r="F92" i="36" s="1"/>
  <c r="O146" i="36"/>
  <c r="H90" i="36" s="1"/>
  <c r="H91" i="36" s="1"/>
  <c r="H92" i="36" s="1"/>
  <c r="M146" i="36"/>
  <c r="G90" i="36" s="1"/>
  <c r="G91" i="36" s="1"/>
  <c r="G92" i="36" s="1"/>
  <c r="G95" i="2"/>
  <c r="B93" i="2"/>
  <c r="B57" i="2"/>
  <c r="G80" i="2"/>
  <c r="G59" i="2"/>
  <c r="H70" i="36"/>
  <c r="G70" i="36"/>
  <c r="F77" i="2" l="1"/>
  <c r="F205" i="2"/>
  <c r="F207" i="2" s="1"/>
  <c r="G41" i="40" s="1"/>
  <c r="G73" i="40" s="1"/>
  <c r="O73" i="40" s="1"/>
  <c r="I74" i="40"/>
  <c r="F89" i="2"/>
  <c r="F88" i="2"/>
  <c r="F78" i="2"/>
  <c r="F79" i="2" s="1"/>
  <c r="F206" i="2"/>
  <c r="G40" i="40" s="1"/>
  <c r="G42" i="40" s="1"/>
  <c r="F48" i="2"/>
  <c r="G198" i="1"/>
  <c r="F87" i="2"/>
  <c r="F91" i="2" s="1"/>
  <c r="F97" i="2" s="1"/>
  <c r="F86" i="2"/>
  <c r="F90" i="2" s="1"/>
  <c r="F57" i="2"/>
  <c r="F76" i="40"/>
  <c r="E210" i="2" s="1"/>
  <c r="F78" i="40"/>
  <c r="E212" i="2" s="1"/>
  <c r="F82" i="40"/>
  <c r="E216" i="2" s="1"/>
  <c r="C75" i="35"/>
  <c r="G74" i="35"/>
  <c r="F97" i="40"/>
  <c r="E231" i="2" s="1"/>
  <c r="F88" i="40"/>
  <c r="E222" i="2" s="1"/>
  <c r="F94" i="40"/>
  <c r="E228" i="2" s="1"/>
  <c r="F81" i="40"/>
  <c r="F84" i="40"/>
  <c r="E218" i="2" s="1"/>
  <c r="F77" i="40"/>
  <c r="E211" i="2" s="1"/>
  <c r="F87" i="40"/>
  <c r="F86" i="40"/>
  <c r="E220" i="2" s="1"/>
  <c r="F83" i="40"/>
  <c r="E217" i="2" s="1"/>
  <c r="F96" i="40"/>
  <c r="E230" i="2" s="1"/>
  <c r="F91" i="40"/>
  <c r="E225" i="2" s="1"/>
  <c r="F80" i="40"/>
  <c r="E214" i="2" s="1"/>
  <c r="F98" i="40"/>
  <c r="E232" i="2" s="1"/>
  <c r="F99" i="40"/>
  <c r="E233" i="2" s="1"/>
  <c r="F79" i="40"/>
  <c r="E213" i="2" s="1"/>
  <c r="F93" i="40"/>
  <c r="E227" i="2" s="1"/>
  <c r="F103" i="40"/>
  <c r="E237" i="2" s="1"/>
  <c r="I81" i="40"/>
  <c r="H215" i="2" s="1"/>
  <c r="F100" i="40"/>
  <c r="E234" i="2" s="1"/>
  <c r="F102" i="40"/>
  <c r="E236" i="2" s="1"/>
  <c r="F95" i="40"/>
  <c r="E229" i="2" s="1"/>
  <c r="F89" i="40"/>
  <c r="E223" i="2" s="1"/>
  <c r="H76" i="40"/>
  <c r="I76" i="40"/>
  <c r="H210" i="2" s="1"/>
  <c r="F90" i="40"/>
  <c r="E224" i="2" s="1"/>
  <c r="F75" i="40"/>
  <c r="E209" i="2" s="1"/>
  <c r="F85" i="40"/>
  <c r="E219" i="2" s="1"/>
  <c r="H86" i="40"/>
  <c r="G220" i="2" s="1"/>
  <c r="H75" i="40"/>
  <c r="P75" i="40" s="1"/>
  <c r="H87" i="40"/>
  <c r="P87" i="40" s="1"/>
  <c r="I82" i="40"/>
  <c r="H216" i="2" s="1"/>
  <c r="I90" i="40"/>
  <c r="H224" i="2" s="1"/>
  <c r="H100" i="40"/>
  <c r="G234" i="2" s="1"/>
  <c r="H88" i="40"/>
  <c r="H90" i="40"/>
  <c r="G224" i="2" s="1"/>
  <c r="H82" i="40"/>
  <c r="I83" i="40"/>
  <c r="H217" i="2" s="1"/>
  <c r="I94" i="40"/>
  <c r="H228" i="2" s="1"/>
  <c r="F101" i="40"/>
  <c r="E235" i="2" s="1"/>
  <c r="H95" i="40"/>
  <c r="G229" i="2" s="1"/>
  <c r="H84" i="40"/>
  <c r="H78" i="40"/>
  <c r="P78" i="40" s="1"/>
  <c r="H98" i="40"/>
  <c r="G232" i="2" s="1"/>
  <c r="I103" i="40"/>
  <c r="H237" i="2" s="1"/>
  <c r="I78" i="40"/>
  <c r="H212" i="2" s="1"/>
  <c r="I75" i="40"/>
  <c r="H209" i="2" s="1"/>
  <c r="H102" i="40"/>
  <c r="G236" i="2" s="1"/>
  <c r="H94" i="40"/>
  <c r="G228" i="2" s="1"/>
  <c r="H77" i="40"/>
  <c r="P77" i="40" s="1"/>
  <c r="H89" i="40"/>
  <c r="G223" i="2" s="1"/>
  <c r="H85" i="40"/>
  <c r="G219" i="2" s="1"/>
  <c r="I96" i="40"/>
  <c r="H230" i="2" s="1"/>
  <c r="I101" i="40"/>
  <c r="H235" i="2" s="1"/>
  <c r="I77" i="40"/>
  <c r="I100" i="40"/>
  <c r="H234" i="2" s="1"/>
  <c r="F92" i="40"/>
  <c r="E226" i="2" s="1"/>
  <c r="I95" i="40"/>
  <c r="H229" i="2" s="1"/>
  <c r="I87" i="40"/>
  <c r="H221" i="2" s="1"/>
  <c r="H99" i="40"/>
  <c r="G233" i="2" s="1"/>
  <c r="H92" i="40"/>
  <c r="G226" i="2" s="1"/>
  <c r="H93" i="40"/>
  <c r="G227" i="2" s="1"/>
  <c r="H80" i="40"/>
  <c r="G214" i="2" s="1"/>
  <c r="H79" i="40"/>
  <c r="P79" i="40" s="1"/>
  <c r="I99" i="40"/>
  <c r="H233" i="2" s="1"/>
  <c r="I91" i="40"/>
  <c r="H225" i="2" s="1"/>
  <c r="I86" i="40"/>
  <c r="H220" i="2" s="1"/>
  <c r="I85" i="40"/>
  <c r="H219" i="2" s="1"/>
  <c r="I93" i="40"/>
  <c r="H227" i="2" s="1"/>
  <c r="I84" i="40"/>
  <c r="H218" i="2" s="1"/>
  <c r="I97" i="40"/>
  <c r="H231" i="2" s="1"/>
  <c r="I89" i="40"/>
  <c r="H86" i="2"/>
  <c r="H90" i="2" s="1"/>
  <c r="I86" i="2"/>
  <c r="H87" i="2"/>
  <c r="H91" i="2" s="1"/>
  <c r="N147" i="1"/>
  <c r="L147" i="1"/>
  <c r="K147" i="1"/>
  <c r="J147" i="1"/>
  <c r="I148" i="1"/>
  <c r="R147" i="1"/>
  <c r="O147" i="1"/>
  <c r="M147" i="1"/>
  <c r="E221" i="2"/>
  <c r="D43" i="40"/>
  <c r="D44" i="40" s="1"/>
  <c r="D45" i="40" s="1"/>
  <c r="D46" i="40" s="1"/>
  <c r="D47" i="40" s="1"/>
  <c r="D48" i="40" s="1"/>
  <c r="D49" i="40" s="1"/>
  <c r="D50" i="40" s="1"/>
  <c r="D51" i="40" s="1"/>
  <c r="D52" i="40" s="1"/>
  <c r="D53" i="40" s="1"/>
  <c r="D54" i="40" s="1"/>
  <c r="D55" i="40" s="1"/>
  <c r="D56" i="40" s="1"/>
  <c r="D57" i="40" s="1"/>
  <c r="D58" i="40" s="1"/>
  <c r="D59" i="40" s="1"/>
  <c r="D60" i="40" s="1"/>
  <c r="D61" i="40" s="1"/>
  <c r="D62" i="40" s="1"/>
  <c r="D63" i="40" s="1"/>
  <c r="D64" i="40" s="1"/>
  <c r="D65" i="40" s="1"/>
  <c r="D66" i="40" s="1"/>
  <c r="D67" i="40" s="1"/>
  <c r="D68" i="40" s="1"/>
  <c r="D69" i="40" s="1"/>
  <c r="D70" i="40" s="1"/>
  <c r="D71" i="40" s="1"/>
  <c r="D74" i="40"/>
  <c r="P74" i="40"/>
  <c r="G208" i="2"/>
  <c r="E215" i="2"/>
  <c r="D95" i="2"/>
  <c r="D97" i="2" s="1"/>
  <c r="H95" i="2"/>
  <c r="C95" i="2"/>
  <c r="G97" i="2"/>
  <c r="E179" i="2" s="1"/>
  <c r="E95" i="2"/>
  <c r="E97" i="2" s="1"/>
  <c r="D74" i="35"/>
  <c r="H73" i="35"/>
  <c r="B94" i="2"/>
  <c r="D94" i="2"/>
  <c r="D96" i="2" s="1"/>
  <c r="H94" i="2"/>
  <c r="G94" i="2"/>
  <c r="C94" i="2"/>
  <c r="C96" i="2" s="1"/>
  <c r="E94" i="2"/>
  <c r="E96" i="2" s="1"/>
  <c r="F94" i="2"/>
  <c r="K63" i="36"/>
  <c r="I64" i="36"/>
  <c r="N147" i="36"/>
  <c r="R147" i="36"/>
  <c r="J63" i="36"/>
  <c r="L63" i="36"/>
  <c r="O147" i="36"/>
  <c r="M147" i="36"/>
  <c r="J67" i="38"/>
  <c r="N67" i="38"/>
  <c r="K67" i="38"/>
  <c r="R67" i="38"/>
  <c r="L67" i="38"/>
  <c r="M67" i="38"/>
  <c r="O67" i="38"/>
  <c r="I68" i="38"/>
  <c r="H103" i="40"/>
  <c r="G237" i="2" s="1"/>
  <c r="H101" i="40"/>
  <c r="G235" i="2" s="1"/>
  <c r="H96" i="40"/>
  <c r="G230" i="2" s="1"/>
  <c r="H83" i="40"/>
  <c r="H81" i="40"/>
  <c r="H91" i="40"/>
  <c r="H97" i="40"/>
  <c r="G231" i="2" s="1"/>
  <c r="H88" i="2"/>
  <c r="I88" i="2"/>
  <c r="H89" i="2"/>
  <c r="I98" i="40"/>
  <c r="H232" i="2" s="1"/>
  <c r="I79" i="40"/>
  <c r="I92" i="40"/>
  <c r="I102" i="40"/>
  <c r="H236" i="2" s="1"/>
  <c r="I88" i="40"/>
  <c r="I80" i="40"/>
  <c r="H208" i="2"/>
  <c r="Q74" i="40"/>
  <c r="E208" i="2"/>
  <c r="N74" i="40"/>
  <c r="G96" i="2"/>
  <c r="I94" i="2"/>
  <c r="F96" i="2"/>
  <c r="G87" i="2"/>
  <c r="G86" i="2"/>
  <c r="G88" i="2"/>
  <c r="F72" i="35"/>
  <c r="O156" i="35"/>
  <c r="I71" i="35"/>
  <c r="B206" i="2"/>
  <c r="C40" i="40" s="1"/>
  <c r="C42" i="40" s="1"/>
  <c r="B78" i="2"/>
  <c r="B79" i="2" s="1"/>
  <c r="E43" i="40"/>
  <c r="E44" i="40" s="1"/>
  <c r="E45" i="40" s="1"/>
  <c r="E46" i="40" s="1"/>
  <c r="E47" i="40" s="1"/>
  <c r="E48" i="40" s="1"/>
  <c r="E49" i="40" s="1"/>
  <c r="E50" i="40" s="1"/>
  <c r="E51" i="40" s="1"/>
  <c r="E52" i="40" s="1"/>
  <c r="E53" i="40" s="1"/>
  <c r="E54" i="40" s="1"/>
  <c r="E55" i="40" s="1"/>
  <c r="E56" i="40" s="1"/>
  <c r="E57" i="40" s="1"/>
  <c r="E58" i="40" s="1"/>
  <c r="E59" i="40" s="1"/>
  <c r="E60" i="40" s="1"/>
  <c r="E61" i="40" s="1"/>
  <c r="E62" i="40" s="1"/>
  <c r="E63" i="40" s="1"/>
  <c r="E64" i="40" s="1"/>
  <c r="E65" i="40" s="1"/>
  <c r="E66" i="40" s="1"/>
  <c r="E67" i="40" s="1"/>
  <c r="E68" i="40" s="1"/>
  <c r="E69" i="40" s="1"/>
  <c r="E70" i="40" s="1"/>
  <c r="E71" i="40" s="1"/>
  <c r="E74" i="40"/>
  <c r="H155" i="1"/>
  <c r="H71" i="36"/>
  <c r="G71" i="36"/>
  <c r="G154" i="1"/>
  <c r="F81" i="2" l="1"/>
  <c r="D81" i="2"/>
  <c r="E81" i="2"/>
  <c r="H81" i="2"/>
  <c r="G81" i="2"/>
  <c r="B81" i="2"/>
  <c r="C81" i="2"/>
  <c r="P90" i="40"/>
  <c r="N76" i="40"/>
  <c r="N83" i="40"/>
  <c r="G74" i="40"/>
  <c r="G43" i="40"/>
  <c r="Q89" i="40"/>
  <c r="P92" i="40"/>
  <c r="E108" i="2"/>
  <c r="E109" i="2"/>
  <c r="P86" i="40"/>
  <c r="N82" i="40"/>
  <c r="G221" i="2"/>
  <c r="Q90" i="40"/>
  <c r="N86" i="40"/>
  <c r="N90" i="40"/>
  <c r="G216" i="2"/>
  <c r="N84" i="40"/>
  <c r="Q86" i="40"/>
  <c r="N88" i="40"/>
  <c r="G209" i="2"/>
  <c r="G211" i="2"/>
  <c r="N75" i="40"/>
  <c r="N77" i="40"/>
  <c r="Q77" i="40"/>
  <c r="N79" i="40"/>
  <c r="N78" i="40"/>
  <c r="G222" i="2"/>
  <c r="Q84" i="40"/>
  <c r="G75" i="35"/>
  <c r="C76" i="35"/>
  <c r="Q76" i="40"/>
  <c r="G210" i="2"/>
  <c r="P84" i="40"/>
  <c r="P76" i="40"/>
  <c r="G218" i="2"/>
  <c r="Q75" i="40"/>
  <c r="H211" i="2"/>
  <c r="G213" i="2"/>
  <c r="Q82" i="40"/>
  <c r="N92" i="40"/>
  <c r="H223" i="2"/>
  <c r="N87" i="40"/>
  <c r="P88" i="40"/>
  <c r="N85" i="40"/>
  <c r="N89" i="40"/>
  <c r="Q78" i="40"/>
  <c r="G212" i="2"/>
  <c r="P89" i="40"/>
  <c r="H97" i="2"/>
  <c r="D88" i="40"/>
  <c r="C222" i="2" s="1"/>
  <c r="Q87" i="40"/>
  <c r="P82" i="40"/>
  <c r="P80" i="40"/>
  <c r="Q85" i="40"/>
  <c r="N80" i="40"/>
  <c r="D87" i="40"/>
  <c r="C221" i="2" s="1"/>
  <c r="E79" i="40"/>
  <c r="D213" i="2" s="1"/>
  <c r="E75" i="40"/>
  <c r="D209" i="2" s="1"/>
  <c r="D101" i="40"/>
  <c r="C235" i="2" s="1"/>
  <c r="D82" i="40"/>
  <c r="C216" i="2" s="1"/>
  <c r="H96" i="2"/>
  <c r="E97" i="40"/>
  <c r="D231" i="2" s="1"/>
  <c r="E88" i="40"/>
  <c r="M88" i="40" s="1"/>
  <c r="E103" i="40"/>
  <c r="D237" i="2" s="1"/>
  <c r="E99" i="40"/>
  <c r="D233" i="2" s="1"/>
  <c r="E87" i="40"/>
  <c r="D221" i="2" s="1"/>
  <c r="E102" i="40"/>
  <c r="D236" i="2" s="1"/>
  <c r="E94" i="40"/>
  <c r="D228" i="2" s="1"/>
  <c r="E76" i="40"/>
  <c r="M76" i="40" s="1"/>
  <c r="E98" i="40"/>
  <c r="D232" i="2" s="1"/>
  <c r="E96" i="40"/>
  <c r="D230" i="2" s="1"/>
  <c r="E78" i="40"/>
  <c r="D212" i="2" s="1"/>
  <c r="E85" i="40"/>
  <c r="D219" i="2" s="1"/>
  <c r="D91" i="40"/>
  <c r="C225" i="2" s="1"/>
  <c r="P85" i="40"/>
  <c r="Q91" i="40"/>
  <c r="E93" i="40"/>
  <c r="D227" i="2" s="1"/>
  <c r="E100" i="40"/>
  <c r="D234" i="2" s="1"/>
  <c r="E89" i="40"/>
  <c r="D223" i="2" s="1"/>
  <c r="E77" i="40"/>
  <c r="D211" i="2" s="1"/>
  <c r="E101" i="40"/>
  <c r="D235" i="2" s="1"/>
  <c r="E83" i="40"/>
  <c r="M83" i="40" s="1"/>
  <c r="E92" i="40"/>
  <c r="M92" i="40" s="1"/>
  <c r="D75" i="40"/>
  <c r="C209" i="2" s="1"/>
  <c r="D98" i="40"/>
  <c r="C232" i="2" s="1"/>
  <c r="D78" i="40"/>
  <c r="C212" i="2" s="1"/>
  <c r="D89" i="40"/>
  <c r="L89" i="40" s="1"/>
  <c r="E91" i="40"/>
  <c r="M91" i="40" s="1"/>
  <c r="E95" i="40"/>
  <c r="D229" i="2" s="1"/>
  <c r="E86" i="40"/>
  <c r="M86" i="40" s="1"/>
  <c r="E81" i="40"/>
  <c r="M81" i="40" s="1"/>
  <c r="E80" i="40"/>
  <c r="M80" i="40" s="1"/>
  <c r="E90" i="40"/>
  <c r="D224" i="2" s="1"/>
  <c r="E84" i="40"/>
  <c r="D218" i="2" s="1"/>
  <c r="E82" i="40"/>
  <c r="D216" i="2" s="1"/>
  <c r="D85" i="40"/>
  <c r="C219" i="2" s="1"/>
  <c r="D100" i="40"/>
  <c r="C234" i="2" s="1"/>
  <c r="D81" i="40"/>
  <c r="L81" i="40" s="1"/>
  <c r="D99" i="40"/>
  <c r="C233" i="2" s="1"/>
  <c r="D97" i="40"/>
  <c r="C231" i="2" s="1"/>
  <c r="D90" i="40"/>
  <c r="C224" i="2" s="1"/>
  <c r="G215" i="2"/>
  <c r="P81" i="40"/>
  <c r="N81" i="40"/>
  <c r="J148" i="1"/>
  <c r="I149" i="1"/>
  <c r="R148" i="1"/>
  <c r="N148" i="1"/>
  <c r="L148" i="1"/>
  <c r="K148" i="1"/>
  <c r="O148" i="1"/>
  <c r="M148" i="1"/>
  <c r="E183" i="2"/>
  <c r="E175" i="2"/>
  <c r="E199" i="2"/>
  <c r="E187" i="2"/>
  <c r="E194" i="2"/>
  <c r="E186" i="2"/>
  <c r="D208" i="2"/>
  <c r="M74" i="40"/>
  <c r="E161" i="2"/>
  <c r="E148" i="2"/>
  <c r="E158" i="2"/>
  <c r="E160" i="2"/>
  <c r="E168" i="2"/>
  <c r="E162" i="2"/>
  <c r="E159" i="2"/>
  <c r="E156" i="2"/>
  <c r="E153" i="2"/>
  <c r="E165" i="2"/>
  <c r="E152" i="2"/>
  <c r="E164" i="2"/>
  <c r="E163" i="2"/>
  <c r="E166" i="2"/>
  <c r="E167" i="2"/>
  <c r="E157" i="2"/>
  <c r="E150" i="2"/>
  <c r="E170" i="2"/>
  <c r="E146" i="2"/>
  <c r="E155" i="2"/>
  <c r="E151" i="2"/>
  <c r="E147" i="2"/>
  <c r="E154" i="2"/>
  <c r="E169" i="2"/>
  <c r="E171" i="2"/>
  <c r="E149" i="2"/>
  <c r="H214" i="2"/>
  <c r="Q80" i="40"/>
  <c r="H213" i="2"/>
  <c r="Q79" i="40"/>
  <c r="G217" i="2"/>
  <c r="P83" i="40"/>
  <c r="J64" i="36"/>
  <c r="I65" i="36"/>
  <c r="N148" i="36"/>
  <c r="K64" i="36"/>
  <c r="R148" i="36"/>
  <c r="L64" i="36"/>
  <c r="O148" i="36"/>
  <c r="M148" i="36"/>
  <c r="D92" i="40"/>
  <c r="D77" i="40"/>
  <c r="D86" i="40"/>
  <c r="D76" i="40"/>
  <c r="D102" i="40"/>
  <c r="C236" i="2" s="1"/>
  <c r="D80" i="40"/>
  <c r="D84" i="40"/>
  <c r="D93" i="40"/>
  <c r="C227" i="2" s="1"/>
  <c r="E177" i="2"/>
  <c r="E189" i="2"/>
  <c r="E174" i="2"/>
  <c r="E180" i="2"/>
  <c r="E181" i="2"/>
  <c r="E178" i="2"/>
  <c r="E114" i="2"/>
  <c r="E121" i="2"/>
  <c r="E102" i="2"/>
  <c r="E103" i="2"/>
  <c r="E100" i="2"/>
  <c r="E112" i="2"/>
  <c r="E111" i="2"/>
  <c r="E101" i="2"/>
  <c r="E117" i="2"/>
  <c r="E119" i="2"/>
  <c r="E115" i="2"/>
  <c r="E113" i="2"/>
  <c r="E104" i="2"/>
  <c r="E110" i="2"/>
  <c r="E116" i="2"/>
  <c r="E106" i="2"/>
  <c r="E107" i="2"/>
  <c r="G90" i="2"/>
  <c r="E120" i="2"/>
  <c r="E118" i="2"/>
  <c r="E105" i="2"/>
  <c r="H74" i="35"/>
  <c r="D75" i="35"/>
  <c r="E182" i="2"/>
  <c r="E197" i="2"/>
  <c r="E188" i="2"/>
  <c r="E195" i="2"/>
  <c r="E198" i="2"/>
  <c r="E190" i="2"/>
  <c r="E185" i="2"/>
  <c r="H226" i="2"/>
  <c r="Q92" i="40"/>
  <c r="F73" i="35"/>
  <c r="O157" i="35"/>
  <c r="I72" i="35"/>
  <c r="H222" i="2"/>
  <c r="Q88" i="40"/>
  <c r="C43" i="40"/>
  <c r="C44" i="40" s="1"/>
  <c r="C45" i="40" s="1"/>
  <c r="C46" i="40" s="1"/>
  <c r="C47" i="40" s="1"/>
  <c r="C48" i="40" s="1"/>
  <c r="C49" i="40" s="1"/>
  <c r="C50" i="40" s="1"/>
  <c r="C51" i="40" s="1"/>
  <c r="C52" i="40" s="1"/>
  <c r="C53" i="40" s="1"/>
  <c r="C54" i="40" s="1"/>
  <c r="C55" i="40" s="1"/>
  <c r="C56" i="40" s="1"/>
  <c r="C57" i="40" s="1"/>
  <c r="C58" i="40" s="1"/>
  <c r="C59" i="40" s="1"/>
  <c r="C60" i="40" s="1"/>
  <c r="C61" i="40" s="1"/>
  <c r="C62" i="40" s="1"/>
  <c r="C63" i="40" s="1"/>
  <c r="C64" i="40" s="1"/>
  <c r="C65" i="40" s="1"/>
  <c r="C66" i="40" s="1"/>
  <c r="C67" i="40" s="1"/>
  <c r="C68" i="40" s="1"/>
  <c r="C69" i="40" s="1"/>
  <c r="C70" i="40" s="1"/>
  <c r="C71" i="40" s="1"/>
  <c r="C74" i="40"/>
  <c r="E138" i="2"/>
  <c r="E144" i="2"/>
  <c r="E131" i="2"/>
  <c r="E139" i="2"/>
  <c r="E137" i="2"/>
  <c r="E135" i="2"/>
  <c r="E126" i="2"/>
  <c r="E142" i="2"/>
  <c r="E133" i="2"/>
  <c r="E134" i="2"/>
  <c r="E141" i="2"/>
  <c r="E125" i="2"/>
  <c r="E130" i="2"/>
  <c r="E143" i="2"/>
  <c r="E127" i="2"/>
  <c r="E123" i="2"/>
  <c r="E124" i="2"/>
  <c r="E136" i="2"/>
  <c r="E140" i="2"/>
  <c r="G91" i="2"/>
  <c r="E128" i="2"/>
  <c r="E132" i="2"/>
  <c r="E129" i="2"/>
  <c r="G225" i="2"/>
  <c r="P91" i="40"/>
  <c r="L68" i="38"/>
  <c r="R68" i="38"/>
  <c r="M68" i="38"/>
  <c r="I69" i="38"/>
  <c r="J68" i="38"/>
  <c r="K68" i="38"/>
  <c r="N68" i="38"/>
  <c r="O68" i="38"/>
  <c r="D103" i="40"/>
  <c r="C237" i="2" s="1"/>
  <c r="D83" i="40"/>
  <c r="C208" i="2"/>
  <c r="L74" i="40"/>
  <c r="D95" i="40"/>
  <c r="C229" i="2" s="1"/>
  <c r="D79" i="40"/>
  <c r="D94" i="40"/>
  <c r="C228" i="2" s="1"/>
  <c r="D96" i="40"/>
  <c r="C230" i="2" s="1"/>
  <c r="Q83" i="40"/>
  <c r="N91" i="40"/>
  <c r="Q81" i="40"/>
  <c r="E191" i="2"/>
  <c r="E196" i="2"/>
  <c r="E184" i="2"/>
  <c r="E176" i="2"/>
  <c r="E193" i="2"/>
  <c r="E192" i="2"/>
  <c r="H72" i="36"/>
  <c r="H156" i="1"/>
  <c r="G155" i="1"/>
  <c r="G72" i="36"/>
  <c r="D220" i="2" l="1"/>
  <c r="G44" i="40"/>
  <c r="G45" i="40" s="1"/>
  <c r="G46" i="40" s="1"/>
  <c r="G47" i="40" s="1"/>
  <c r="G48" i="40" s="1"/>
  <c r="G49" i="40" s="1"/>
  <c r="G50" i="40" s="1"/>
  <c r="G51" i="40" s="1"/>
  <c r="G52" i="40" s="1"/>
  <c r="G53" i="40" s="1"/>
  <c r="G54" i="40" s="1"/>
  <c r="G55" i="40" s="1"/>
  <c r="G56" i="40" s="1"/>
  <c r="G57" i="40" s="1"/>
  <c r="G58" i="40" s="1"/>
  <c r="G59" i="40" s="1"/>
  <c r="G60" i="40" s="1"/>
  <c r="G61" i="40" s="1"/>
  <c r="G62" i="40" s="1"/>
  <c r="G63" i="40" s="1"/>
  <c r="G64" i="40" s="1"/>
  <c r="G65" i="40" s="1"/>
  <c r="G66" i="40" s="1"/>
  <c r="G67" i="40" s="1"/>
  <c r="G68" i="40" s="1"/>
  <c r="G69" i="40" s="1"/>
  <c r="G70" i="40" s="1"/>
  <c r="G71" i="40" s="1"/>
  <c r="G75" i="40"/>
  <c r="O74" i="40"/>
  <c r="F208" i="2"/>
  <c r="D222" i="2"/>
  <c r="D217" i="2"/>
  <c r="L82" i="40"/>
  <c r="L85" i="40"/>
  <c r="M77" i="40"/>
  <c r="D214" i="2"/>
  <c r="D210" i="2"/>
  <c r="M79" i="40"/>
  <c r="L78" i="40"/>
  <c r="M84" i="40"/>
  <c r="C215" i="2"/>
  <c r="M78" i="40"/>
  <c r="D215" i="2"/>
  <c r="L91" i="40"/>
  <c r="L87" i="40"/>
  <c r="M87" i="40"/>
  <c r="M90" i="40"/>
  <c r="L90" i="40"/>
  <c r="M75" i="40"/>
  <c r="M85" i="40"/>
  <c r="D225" i="2"/>
  <c r="L75" i="40"/>
  <c r="C77" i="35"/>
  <c r="G76" i="35"/>
  <c r="D226" i="2"/>
  <c r="C223" i="2"/>
  <c r="M89" i="40"/>
  <c r="L88" i="40"/>
  <c r="C86" i="40"/>
  <c r="B220" i="2" s="1"/>
  <c r="C77" i="40"/>
  <c r="B211" i="2" s="1"/>
  <c r="C78" i="40"/>
  <c r="K78" i="40" s="1"/>
  <c r="M82" i="40"/>
  <c r="C83" i="40"/>
  <c r="B217" i="2" s="1"/>
  <c r="C75" i="40"/>
  <c r="B209" i="2" s="1"/>
  <c r="C94" i="40"/>
  <c r="B228" i="2" s="1"/>
  <c r="C97" i="40"/>
  <c r="B231" i="2" s="1"/>
  <c r="C80" i="40"/>
  <c r="K80" i="40" s="1"/>
  <c r="C100" i="40"/>
  <c r="B234" i="2" s="1"/>
  <c r="C85" i="40"/>
  <c r="B219" i="2" s="1"/>
  <c r="C91" i="40"/>
  <c r="B225" i="2" s="1"/>
  <c r="C90" i="40"/>
  <c r="B224" i="2" s="1"/>
  <c r="N106" i="40"/>
  <c r="N105" i="40" s="1"/>
  <c r="Q106" i="40"/>
  <c r="Q105" i="40" s="1"/>
  <c r="C87" i="40"/>
  <c r="B221" i="2" s="1"/>
  <c r="C99" i="40"/>
  <c r="B233" i="2" s="1"/>
  <c r="C103" i="40"/>
  <c r="B237" i="2" s="1"/>
  <c r="C98" i="40"/>
  <c r="B232" i="2" s="1"/>
  <c r="C101" i="40"/>
  <c r="B235" i="2" s="1"/>
  <c r="C84" i="40"/>
  <c r="B218" i="2" s="1"/>
  <c r="C76" i="40"/>
  <c r="B210" i="2" s="1"/>
  <c r="C93" i="40"/>
  <c r="B227" i="2" s="1"/>
  <c r="C102" i="40"/>
  <c r="B236" i="2" s="1"/>
  <c r="C95" i="40"/>
  <c r="B229" i="2" s="1"/>
  <c r="C88" i="40"/>
  <c r="B222" i="2" s="1"/>
  <c r="C96" i="40"/>
  <c r="B230" i="2" s="1"/>
  <c r="C82" i="40"/>
  <c r="B216" i="2" s="1"/>
  <c r="C81" i="40"/>
  <c r="B215" i="2" s="1"/>
  <c r="C79" i="40"/>
  <c r="B213" i="2" s="1"/>
  <c r="P106" i="40"/>
  <c r="P105" i="40" s="1"/>
  <c r="C218" i="2"/>
  <c r="L84" i="40"/>
  <c r="C213" i="2"/>
  <c r="L79" i="40"/>
  <c r="C217" i="2"/>
  <c r="L83" i="40"/>
  <c r="C214" i="2"/>
  <c r="L80" i="40"/>
  <c r="C211" i="2"/>
  <c r="L77" i="40"/>
  <c r="L149" i="1"/>
  <c r="N149" i="1"/>
  <c r="J149" i="1"/>
  <c r="R149" i="1"/>
  <c r="I150" i="1"/>
  <c r="K149" i="1"/>
  <c r="O149" i="1"/>
  <c r="M149" i="1"/>
  <c r="B208" i="2"/>
  <c r="K74" i="40"/>
  <c r="J69" i="38"/>
  <c r="N69" i="38"/>
  <c r="O69" i="38"/>
  <c r="K69" i="38"/>
  <c r="L69" i="38"/>
  <c r="M69" i="38"/>
  <c r="I70" i="38"/>
  <c r="R69" i="38"/>
  <c r="I73" i="35"/>
  <c r="O158" i="35"/>
  <c r="F74" i="35"/>
  <c r="C226" i="2"/>
  <c r="L92" i="40"/>
  <c r="I66" i="36"/>
  <c r="K65" i="36"/>
  <c r="N149" i="36"/>
  <c r="J65" i="36"/>
  <c r="L65" i="36"/>
  <c r="R149" i="36"/>
  <c r="O149" i="36"/>
  <c r="M149" i="36"/>
  <c r="C220" i="2"/>
  <c r="L86" i="40"/>
  <c r="C92" i="40"/>
  <c r="C89" i="40"/>
  <c r="H75" i="35"/>
  <c r="D76" i="35"/>
  <c r="C210" i="2"/>
  <c r="L76" i="40"/>
  <c r="H157" i="1"/>
  <c r="H73" i="36"/>
  <c r="G73" i="36"/>
  <c r="G156" i="1"/>
  <c r="G80" i="40" l="1"/>
  <c r="G88" i="40"/>
  <c r="G89" i="40"/>
  <c r="G103" i="40"/>
  <c r="F237" i="2" s="1"/>
  <c r="G93" i="40"/>
  <c r="F227" i="2" s="1"/>
  <c r="G97" i="40"/>
  <c r="F231" i="2" s="1"/>
  <c r="G98" i="40"/>
  <c r="F232" i="2" s="1"/>
  <c r="G81" i="40"/>
  <c r="O81" i="40" s="1"/>
  <c r="G79" i="40"/>
  <c r="F213" i="2" s="1"/>
  <c r="G95" i="40"/>
  <c r="F229" i="2" s="1"/>
  <c r="G99" i="40"/>
  <c r="F233" i="2" s="1"/>
  <c r="G90" i="40"/>
  <c r="O90" i="40" s="1"/>
  <c r="G83" i="40"/>
  <c r="O83" i="40" s="1"/>
  <c r="G91" i="40"/>
  <c r="F225" i="2" s="1"/>
  <c r="G100" i="40"/>
  <c r="F234" i="2" s="1"/>
  <c r="G82" i="40"/>
  <c r="O82" i="40" s="1"/>
  <c r="G92" i="40"/>
  <c r="O92" i="40" s="1"/>
  <c r="G84" i="40"/>
  <c r="O84" i="40" s="1"/>
  <c r="G76" i="40"/>
  <c r="O76" i="40" s="1"/>
  <c r="G77" i="40"/>
  <c r="O77" i="40" s="1"/>
  <c r="G102" i="40"/>
  <c r="F236" i="2" s="1"/>
  <c r="G78" i="40"/>
  <c r="F212" i="2" s="1"/>
  <c r="G94" i="40"/>
  <c r="F228" i="2" s="1"/>
  <c r="G86" i="40"/>
  <c r="O86" i="40" s="1"/>
  <c r="G85" i="40"/>
  <c r="O85" i="40" s="1"/>
  <c r="G87" i="40"/>
  <c r="F221" i="2" s="1"/>
  <c r="G96" i="40"/>
  <c r="F230" i="2" s="1"/>
  <c r="G101" i="40"/>
  <c r="F235" i="2" s="1"/>
  <c r="O88" i="40"/>
  <c r="F222" i="2"/>
  <c r="F214" i="2"/>
  <c r="O80" i="40"/>
  <c r="O75" i="40"/>
  <c r="F209" i="2"/>
  <c r="F223" i="2"/>
  <c r="O89" i="40"/>
  <c r="O91" i="40"/>
  <c r="K88" i="40"/>
  <c r="K85" i="40"/>
  <c r="K87" i="40"/>
  <c r="B212" i="2"/>
  <c r="K86" i="40"/>
  <c r="K91" i="40"/>
  <c r="M106" i="40"/>
  <c r="M105" i="40" s="1"/>
  <c r="K83" i="40"/>
  <c r="K75" i="40"/>
  <c r="J80" i="40"/>
  <c r="G77" i="35"/>
  <c r="C78" i="35"/>
  <c r="K77" i="40"/>
  <c r="K76" i="40"/>
  <c r="K81" i="40"/>
  <c r="K82" i="40"/>
  <c r="K90" i="40"/>
  <c r="K84" i="40"/>
  <c r="B214" i="2"/>
  <c r="L106" i="40"/>
  <c r="L105" i="40" s="1"/>
  <c r="K79" i="40"/>
  <c r="B223" i="2"/>
  <c r="K89" i="40"/>
  <c r="L70" i="38"/>
  <c r="R70" i="38"/>
  <c r="K70" i="38"/>
  <c r="J70" i="38"/>
  <c r="M70" i="38"/>
  <c r="N70" i="38"/>
  <c r="I71" i="38"/>
  <c r="O70" i="38"/>
  <c r="K66" i="36"/>
  <c r="N150" i="36"/>
  <c r="L66" i="36"/>
  <c r="R150" i="36"/>
  <c r="J66" i="36"/>
  <c r="I67" i="36"/>
  <c r="M150" i="36"/>
  <c r="O150" i="36"/>
  <c r="J150" i="1"/>
  <c r="I151" i="1"/>
  <c r="R150" i="1"/>
  <c r="N150" i="1"/>
  <c r="L150" i="1"/>
  <c r="K150" i="1"/>
  <c r="O150" i="1"/>
  <c r="M150" i="1"/>
  <c r="B226" i="2"/>
  <c r="K92" i="40"/>
  <c r="H76" i="35"/>
  <c r="D77" i="35"/>
  <c r="I74" i="35"/>
  <c r="F75" i="35"/>
  <c r="O159" i="35"/>
  <c r="H74" i="36"/>
  <c r="H158" i="1"/>
  <c r="G157" i="1"/>
  <c r="G74" i="36"/>
  <c r="O78" i="40" l="1"/>
  <c r="F224" i="2"/>
  <c r="F215" i="2"/>
  <c r="F226" i="2"/>
  <c r="O79" i="40"/>
  <c r="F218" i="2"/>
  <c r="O87" i="40"/>
  <c r="F220" i="2"/>
  <c r="F210" i="2"/>
  <c r="F216" i="2"/>
  <c r="F211" i="2"/>
  <c r="F217" i="2"/>
  <c r="F219" i="2"/>
  <c r="G78" i="35"/>
  <c r="C79" i="35"/>
  <c r="K106" i="40"/>
  <c r="K105" i="40" s="1"/>
  <c r="L67" i="36"/>
  <c r="N151" i="36"/>
  <c r="R151" i="36"/>
  <c r="K67" i="36"/>
  <c r="J67" i="36"/>
  <c r="I68" i="36"/>
  <c r="O151" i="36"/>
  <c r="M151" i="36"/>
  <c r="F76" i="35"/>
  <c r="O160" i="35"/>
  <c r="I75" i="35"/>
  <c r="J151" i="1"/>
  <c r="I152" i="1"/>
  <c r="K151" i="1"/>
  <c r="L151" i="1"/>
  <c r="R151" i="1"/>
  <c r="N151" i="1"/>
  <c r="O151" i="1"/>
  <c r="M151" i="1"/>
  <c r="J71" i="38"/>
  <c r="N71" i="38"/>
  <c r="M71" i="38"/>
  <c r="K71" i="38"/>
  <c r="L71" i="38"/>
  <c r="O71" i="38"/>
  <c r="R71" i="38"/>
  <c r="I72" i="38"/>
  <c r="D78" i="35"/>
  <c r="H77" i="35"/>
  <c r="H159" i="1"/>
  <c r="H75" i="36"/>
  <c r="G75" i="36"/>
  <c r="G158" i="1"/>
  <c r="O106" i="40" l="1"/>
  <c r="O105" i="40" s="1"/>
  <c r="C80" i="35"/>
  <c r="G79" i="35"/>
  <c r="N152" i="36"/>
  <c r="R152" i="36"/>
  <c r="I69" i="36"/>
  <c r="K68" i="36"/>
  <c r="L68" i="36"/>
  <c r="J68" i="36"/>
  <c r="M152" i="36"/>
  <c r="O152" i="36"/>
  <c r="L72" i="38"/>
  <c r="R72" i="38"/>
  <c r="J72" i="38"/>
  <c r="O72" i="38"/>
  <c r="K72" i="38"/>
  <c r="M72" i="38"/>
  <c r="N72" i="38"/>
  <c r="I73" i="38"/>
  <c r="J152" i="1"/>
  <c r="R152" i="1"/>
  <c r="K152" i="1"/>
  <c r="L152" i="1"/>
  <c r="N152" i="1"/>
  <c r="I153" i="1"/>
  <c r="O152" i="1"/>
  <c r="M152" i="1"/>
  <c r="O161" i="35"/>
  <c r="I76" i="35"/>
  <c r="F77" i="35"/>
  <c r="D79" i="35"/>
  <c r="H78" i="35"/>
  <c r="H76" i="36"/>
  <c r="H160" i="1"/>
  <c r="G159" i="1"/>
  <c r="G76" i="36"/>
  <c r="G80" i="35" l="1"/>
  <c r="C81" i="35"/>
  <c r="J73" i="38"/>
  <c r="N73" i="38"/>
  <c r="L73" i="38"/>
  <c r="I74" i="38"/>
  <c r="K73" i="38"/>
  <c r="M73" i="38"/>
  <c r="O73" i="38"/>
  <c r="R73" i="38"/>
  <c r="D80" i="35"/>
  <c r="H79" i="35"/>
  <c r="F78" i="35"/>
  <c r="O162" i="35"/>
  <c r="I77" i="35"/>
  <c r="L69" i="36"/>
  <c r="N153" i="36"/>
  <c r="K69" i="36"/>
  <c r="I70" i="36"/>
  <c r="R153" i="36"/>
  <c r="J69" i="36"/>
  <c r="O153" i="36"/>
  <c r="M153" i="36"/>
  <c r="N153" i="1"/>
  <c r="R153" i="1"/>
  <c r="L153" i="1"/>
  <c r="I154" i="1"/>
  <c r="J153" i="1"/>
  <c r="K153" i="1"/>
  <c r="O153" i="1"/>
  <c r="M153" i="1"/>
  <c r="H161" i="1"/>
  <c r="H77" i="36"/>
  <c r="G77" i="36"/>
  <c r="G160" i="1"/>
  <c r="G81" i="35" l="1"/>
  <c r="C82" i="35"/>
  <c r="L74" i="38"/>
  <c r="R74" i="38"/>
  <c r="N74" i="38"/>
  <c r="K74" i="38"/>
  <c r="M74" i="38"/>
  <c r="O74" i="38"/>
  <c r="I75" i="38"/>
  <c r="J74" i="38"/>
  <c r="I78" i="35"/>
  <c r="O163" i="35"/>
  <c r="F79" i="35"/>
  <c r="J154" i="1"/>
  <c r="L154" i="1"/>
  <c r="R154" i="1"/>
  <c r="N154" i="1"/>
  <c r="K154" i="1"/>
  <c r="I155" i="1"/>
  <c r="O154" i="1"/>
  <c r="M154" i="1"/>
  <c r="I71" i="36"/>
  <c r="N154" i="36"/>
  <c r="R154" i="36"/>
  <c r="J70" i="36"/>
  <c r="L70" i="36"/>
  <c r="K70" i="36"/>
  <c r="M154" i="36"/>
  <c r="O154" i="36"/>
  <c r="H80" i="35"/>
  <c r="D81" i="35"/>
  <c r="H78" i="36"/>
  <c r="H162" i="1"/>
  <c r="G161" i="1"/>
  <c r="G78" i="36"/>
  <c r="G82" i="35" l="1"/>
  <c r="C83" i="35"/>
  <c r="O164" i="35"/>
  <c r="I79" i="35"/>
  <c r="F80" i="35"/>
  <c r="J75" i="38"/>
  <c r="N75" i="38"/>
  <c r="K75" i="38"/>
  <c r="R75" i="38"/>
  <c r="L75" i="38"/>
  <c r="M75" i="38"/>
  <c r="O75" i="38"/>
  <c r="I76" i="38"/>
  <c r="R155" i="36"/>
  <c r="K71" i="36"/>
  <c r="I72" i="36"/>
  <c r="L71" i="36"/>
  <c r="J71" i="36"/>
  <c r="N155" i="36"/>
  <c r="M155" i="36"/>
  <c r="O155" i="36"/>
  <c r="H81" i="35"/>
  <c r="D82" i="35"/>
  <c r="N155" i="1"/>
  <c r="L155" i="1"/>
  <c r="K155" i="1"/>
  <c r="I156" i="1"/>
  <c r="J155" i="1"/>
  <c r="R155" i="1"/>
  <c r="O155" i="1"/>
  <c r="M155" i="1"/>
  <c r="H163" i="1"/>
  <c r="H79" i="36"/>
  <c r="G79" i="36"/>
  <c r="G162" i="1"/>
  <c r="C84" i="35" l="1"/>
  <c r="G83" i="35"/>
  <c r="J72" i="36"/>
  <c r="I73" i="36"/>
  <c r="K72" i="36"/>
  <c r="L72" i="36"/>
  <c r="R156" i="36"/>
  <c r="N156" i="36"/>
  <c r="O156" i="36"/>
  <c r="M156" i="36"/>
  <c r="H82" i="35"/>
  <c r="D83" i="35"/>
  <c r="I157" i="1"/>
  <c r="J156" i="1"/>
  <c r="L156" i="1"/>
  <c r="K156" i="1"/>
  <c r="N156" i="1"/>
  <c r="R156" i="1"/>
  <c r="O156" i="1"/>
  <c r="M156" i="1"/>
  <c r="L76" i="38"/>
  <c r="R76" i="38"/>
  <c r="M76" i="38"/>
  <c r="I77" i="38"/>
  <c r="K76" i="38"/>
  <c r="N76" i="38"/>
  <c r="O76" i="38"/>
  <c r="J76" i="38"/>
  <c r="O165" i="35"/>
  <c r="I80" i="35"/>
  <c r="F81" i="35"/>
  <c r="H164" i="1"/>
  <c r="H80" i="36"/>
  <c r="G163" i="1"/>
  <c r="G80" i="36"/>
  <c r="G84" i="35" l="1"/>
  <c r="C85" i="35"/>
  <c r="N157" i="1"/>
  <c r="R157" i="1"/>
  <c r="J157" i="1"/>
  <c r="I158" i="1"/>
  <c r="L157" i="1"/>
  <c r="K157" i="1"/>
  <c r="O157" i="1"/>
  <c r="M157" i="1"/>
  <c r="H83" i="35"/>
  <c r="D84" i="35"/>
  <c r="L73" i="36"/>
  <c r="R157" i="36"/>
  <c r="I74" i="36"/>
  <c r="N157" i="36"/>
  <c r="J73" i="36"/>
  <c r="K73" i="36"/>
  <c r="O157" i="36"/>
  <c r="M157" i="36"/>
  <c r="J77" i="38"/>
  <c r="N77" i="38"/>
  <c r="O77" i="38"/>
  <c r="L77" i="38"/>
  <c r="M77" i="38"/>
  <c r="R77" i="38"/>
  <c r="I78" i="38"/>
  <c r="K77" i="38"/>
  <c r="I81" i="35"/>
  <c r="F82" i="35"/>
  <c r="O166" i="35"/>
  <c r="H81" i="36"/>
  <c r="H165" i="1"/>
  <c r="G81" i="36"/>
  <c r="G164" i="1"/>
  <c r="C86" i="35" l="1"/>
  <c r="G85" i="35"/>
  <c r="I82" i="35"/>
  <c r="O167" i="35"/>
  <c r="F83" i="35"/>
  <c r="N158" i="1"/>
  <c r="L158" i="1"/>
  <c r="K158" i="1"/>
  <c r="R158" i="1"/>
  <c r="J158" i="1"/>
  <c r="I159" i="1"/>
  <c r="O158" i="1"/>
  <c r="M158" i="1"/>
  <c r="H84" i="35"/>
  <c r="D85" i="35"/>
  <c r="L78" i="38"/>
  <c r="R78" i="38"/>
  <c r="K78" i="38"/>
  <c r="M78" i="38"/>
  <c r="N78" i="38"/>
  <c r="O78" i="38"/>
  <c r="I79" i="38"/>
  <c r="J78" i="38"/>
  <c r="K74" i="36"/>
  <c r="J74" i="36"/>
  <c r="N158" i="36"/>
  <c r="R158" i="36"/>
  <c r="I75" i="36"/>
  <c r="L74" i="36"/>
  <c r="O158" i="36"/>
  <c r="M158" i="36"/>
  <c r="H166" i="1"/>
  <c r="H82" i="36"/>
  <c r="G165" i="1"/>
  <c r="G82" i="36"/>
  <c r="C87" i="35" l="1"/>
  <c r="G87" i="35" s="1"/>
  <c r="G86" i="35"/>
  <c r="L79" i="38"/>
  <c r="K79" i="38"/>
  <c r="I80" i="38"/>
  <c r="M79" i="38"/>
  <c r="N79" i="38"/>
  <c r="J79" i="38"/>
  <c r="O79" i="38"/>
  <c r="F84" i="35"/>
  <c r="I83" i="35"/>
  <c r="I76" i="36"/>
  <c r="N159" i="36"/>
  <c r="J75" i="36"/>
  <c r="L75" i="36"/>
  <c r="R159" i="36"/>
  <c r="K75" i="36"/>
  <c r="O159" i="36"/>
  <c r="M159" i="36"/>
  <c r="D86" i="35"/>
  <c r="H85" i="35"/>
  <c r="L159" i="1"/>
  <c r="K159" i="1"/>
  <c r="J159" i="1"/>
  <c r="N159" i="1"/>
  <c r="I160" i="1"/>
  <c r="R159" i="1"/>
  <c r="O159" i="1"/>
  <c r="M159" i="1"/>
  <c r="H83" i="36"/>
  <c r="H167" i="1"/>
  <c r="G83" i="36"/>
  <c r="G166" i="1"/>
  <c r="I161" i="1" l="1"/>
  <c r="J160" i="1"/>
  <c r="N160" i="1"/>
  <c r="L160" i="1"/>
  <c r="R160" i="1"/>
  <c r="K160" i="1"/>
  <c r="O160" i="1"/>
  <c r="M160" i="1"/>
  <c r="I84" i="35"/>
  <c r="F85" i="35"/>
  <c r="K80" i="38"/>
  <c r="O80" i="38"/>
  <c r="N80" i="38"/>
  <c r="J80" i="38"/>
  <c r="L80" i="38"/>
  <c r="I81" i="38"/>
  <c r="M80" i="38"/>
  <c r="K76" i="36"/>
  <c r="L76" i="36"/>
  <c r="I77" i="36"/>
  <c r="R160" i="36"/>
  <c r="J76" i="36"/>
  <c r="N160" i="36"/>
  <c r="O160" i="36"/>
  <c r="M160" i="36"/>
  <c r="D87" i="35"/>
  <c r="H87" i="35" s="1"/>
  <c r="H86" i="35"/>
  <c r="H168" i="1"/>
  <c r="H84" i="36"/>
  <c r="G167" i="1"/>
  <c r="G84" i="36"/>
  <c r="J81" i="38" l="1"/>
  <c r="N81" i="38"/>
  <c r="I82" i="38"/>
  <c r="L81" i="38"/>
  <c r="M81" i="38"/>
  <c r="O81" i="38"/>
  <c r="K81" i="38"/>
  <c r="I85" i="35"/>
  <c r="F86" i="35"/>
  <c r="L77" i="36"/>
  <c r="R161" i="36"/>
  <c r="K77" i="36"/>
  <c r="I78" i="36"/>
  <c r="N161" i="36"/>
  <c r="J77" i="36"/>
  <c r="M161" i="36"/>
  <c r="O161" i="36"/>
  <c r="L161" i="1"/>
  <c r="J161" i="1"/>
  <c r="K161" i="1"/>
  <c r="I162" i="1"/>
  <c r="N161" i="1"/>
  <c r="R161" i="1"/>
  <c r="O161" i="1"/>
  <c r="M161" i="1"/>
  <c r="H85" i="36"/>
  <c r="H169" i="1"/>
  <c r="G85" i="36"/>
  <c r="G168" i="1"/>
  <c r="M82" i="38" l="1"/>
  <c r="J82" i="38"/>
  <c r="O82" i="38"/>
  <c r="K82" i="38"/>
  <c r="I83" i="38"/>
  <c r="L82" i="38"/>
  <c r="N82" i="38"/>
  <c r="I163" i="1"/>
  <c r="N162" i="1"/>
  <c r="L162" i="1"/>
  <c r="R162" i="1"/>
  <c r="K162" i="1"/>
  <c r="J162" i="1"/>
  <c r="O162" i="1"/>
  <c r="M162" i="1"/>
  <c r="K78" i="36"/>
  <c r="J78" i="36"/>
  <c r="I79" i="36"/>
  <c r="L78" i="36"/>
  <c r="N162" i="36"/>
  <c r="R162" i="36"/>
  <c r="O162" i="36"/>
  <c r="M162" i="36"/>
  <c r="I86" i="35"/>
  <c r="F87" i="35"/>
  <c r="I87" i="35" s="1"/>
  <c r="H170" i="1"/>
  <c r="H86" i="36"/>
  <c r="G169" i="1"/>
  <c r="G86" i="36"/>
  <c r="I164" i="1" l="1"/>
  <c r="K163" i="1"/>
  <c r="J163" i="1"/>
  <c r="L163" i="1"/>
  <c r="N163" i="1"/>
  <c r="R163" i="1"/>
  <c r="O163" i="1"/>
  <c r="M163" i="1"/>
  <c r="K79" i="36"/>
  <c r="R163" i="36"/>
  <c r="L79" i="36"/>
  <c r="I80" i="36"/>
  <c r="N163" i="36"/>
  <c r="J79" i="36"/>
  <c r="M163" i="36"/>
  <c r="O163" i="36"/>
  <c r="L83" i="38"/>
  <c r="M83" i="38"/>
  <c r="N83" i="38"/>
  <c r="J83" i="38"/>
  <c r="O83" i="38"/>
  <c r="K83" i="38"/>
  <c r="H171" i="1"/>
  <c r="G170" i="1"/>
  <c r="R164" i="36" l="1"/>
  <c r="N164" i="36"/>
  <c r="L80" i="36"/>
  <c r="I81" i="36"/>
  <c r="K80" i="36"/>
  <c r="J80" i="36"/>
  <c r="O164" i="36"/>
  <c r="M164" i="36"/>
  <c r="L164" i="1"/>
  <c r="J164" i="1"/>
  <c r="K164" i="1"/>
  <c r="R164" i="1"/>
  <c r="N164" i="1"/>
  <c r="I165" i="1"/>
  <c r="O164" i="1"/>
  <c r="M164" i="1"/>
  <c r="G171" i="1"/>
  <c r="N165" i="36" l="1"/>
  <c r="R165" i="36"/>
  <c r="J81" i="36"/>
  <c r="K81" i="36"/>
  <c r="I82" i="36"/>
  <c r="L81" i="36"/>
  <c r="O165" i="36"/>
  <c r="M165" i="36"/>
  <c r="I166" i="1"/>
  <c r="N165" i="1"/>
  <c r="L165" i="1"/>
  <c r="K165" i="1"/>
  <c r="J165" i="1"/>
  <c r="R165" i="1"/>
  <c r="O165" i="1"/>
  <c r="M165" i="1"/>
  <c r="J166" i="1" l="1"/>
  <c r="R166" i="1"/>
  <c r="L166" i="1"/>
  <c r="K166" i="1"/>
  <c r="I167" i="1"/>
  <c r="N166" i="1"/>
  <c r="O166" i="1"/>
  <c r="M166" i="1"/>
  <c r="N166" i="36"/>
  <c r="J82" i="36"/>
  <c r="I83" i="36"/>
  <c r="L82" i="36"/>
  <c r="K82" i="36"/>
  <c r="O166" i="36"/>
  <c r="M166" i="36"/>
  <c r="N167" i="36" l="1"/>
  <c r="I84" i="36"/>
  <c r="L83" i="36"/>
  <c r="K83" i="36"/>
  <c r="J83" i="36"/>
  <c r="M167" i="36"/>
  <c r="O167" i="36"/>
  <c r="J167" i="1"/>
  <c r="L167" i="1"/>
  <c r="I168" i="1"/>
  <c r="K167" i="1"/>
  <c r="N167" i="1"/>
  <c r="O167" i="1"/>
  <c r="M167" i="1"/>
  <c r="L84" i="36" l="1"/>
  <c r="J84" i="36"/>
  <c r="K84" i="36"/>
  <c r="N168" i="36"/>
  <c r="I85" i="36"/>
  <c r="O168" i="36"/>
  <c r="M168" i="36"/>
  <c r="I169" i="1"/>
  <c r="J168" i="1"/>
  <c r="K168" i="1"/>
  <c r="N168" i="1"/>
  <c r="L168" i="1"/>
  <c r="O168" i="1"/>
  <c r="M168" i="1"/>
  <c r="I86" i="36" l="1"/>
  <c r="L85" i="36"/>
  <c r="J85" i="36"/>
  <c r="K85" i="36"/>
  <c r="N169" i="36"/>
  <c r="M169" i="36"/>
  <c r="O169" i="36"/>
  <c r="L169" i="1"/>
  <c r="K169" i="1"/>
  <c r="N169" i="1"/>
  <c r="J169" i="1"/>
  <c r="I170" i="1"/>
  <c r="O169" i="1"/>
  <c r="M169" i="1"/>
  <c r="L86" i="36" l="1"/>
  <c r="N170" i="36"/>
  <c r="K86" i="36"/>
  <c r="J86" i="36"/>
  <c r="M170" i="36"/>
  <c r="O170" i="36"/>
  <c r="N170" i="1"/>
  <c r="L170" i="1"/>
  <c r="I171" i="1"/>
  <c r="K170" i="1"/>
  <c r="J170" i="1"/>
  <c r="O170" i="1"/>
  <c r="M170" i="1"/>
  <c r="L171" i="1" l="1"/>
  <c r="E175" i="1" s="1"/>
  <c r="E176" i="1" s="1"/>
  <c r="E177" i="1" s="1"/>
  <c r="N171" i="1"/>
  <c r="F175" i="1" s="1"/>
  <c r="F176" i="1" s="1"/>
  <c r="F177" i="1" s="1"/>
  <c r="J171" i="1"/>
  <c r="C175" i="1" s="1"/>
  <c r="C176" i="1" s="1"/>
  <c r="C177" i="1" s="1"/>
  <c r="K171" i="1"/>
  <c r="D175" i="1" s="1"/>
  <c r="D176" i="1" s="1"/>
  <c r="D177" i="1" s="1"/>
  <c r="O171" i="1"/>
  <c r="H175" i="1" s="1"/>
  <c r="H176" i="1" s="1"/>
  <c r="H177" i="1" s="1"/>
  <c r="M171" i="1"/>
  <c r="G175" i="1" s="1"/>
  <c r="G176" i="1" s="1"/>
  <c r="G17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plachman</author>
  </authors>
  <commentList>
    <comment ref="B19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38"/>
          </rPr>
          <t>Koszty wykonania przyłącza i instalacji gazowej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Paweł Lachman</author>
  </authors>
  <commentList>
    <comment ref="H15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Paweł Lachman:</t>
        </r>
        <r>
          <rPr>
            <sz val="9"/>
            <color indexed="81"/>
            <rFont val="Tahoma"/>
            <family val="2"/>
            <charset val="238"/>
          </rPr>
          <t xml:space="preserve">
Koszt 1 tony ekogroszku</t>
        </r>
      </text>
    </comment>
    <comment ref="H16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Paweł Lachman:</t>
        </r>
        <r>
          <rPr>
            <sz val="9"/>
            <color indexed="81"/>
            <rFont val="Tahoma"/>
            <family val="2"/>
            <charset val="238"/>
          </rPr>
          <t xml:space="preserve">
Jednostkowe ciepło spalania kWh/kg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plachman</author>
  </authors>
  <commentList>
    <comment ref="B54" authorId="0" shapeId="0" xr:uid="{00000000-0006-0000-0400-000001000000}">
      <text>
        <r>
          <rPr>
            <b/>
            <sz val="8"/>
            <color indexed="81"/>
            <rFont val="Tahoma"/>
            <family val="2"/>
            <charset val="238"/>
          </rPr>
          <t>Koszty wykonania przyłącza i instalacji gazowej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plachman</author>
  </authors>
  <commentList>
    <comment ref="B62" authorId="0" shapeId="0" xr:uid="{00000000-0006-0000-0B00-000001000000}">
      <text>
        <r>
          <rPr>
            <b/>
            <sz val="8"/>
            <color indexed="81"/>
            <rFont val="Tahoma"/>
            <family val="2"/>
            <charset val="238"/>
          </rPr>
          <t>Założenie:</t>
        </r>
        <r>
          <rPr>
            <sz val="8"/>
            <color indexed="81"/>
            <rFont val="Tahoma"/>
            <family val="2"/>
            <charset val="238"/>
          </rPr>
          <t xml:space="preserve">
6 m2 powierzchni kolektora</t>
        </r>
      </text>
    </comment>
    <comment ref="C62" authorId="0" shapeId="0" xr:uid="{00000000-0006-0000-0B00-000002000000}">
      <text>
        <r>
          <rPr>
            <b/>
            <sz val="8"/>
            <color indexed="81"/>
            <rFont val="Tahoma"/>
            <family val="2"/>
            <charset val="238"/>
          </rPr>
          <t>Założenie:
12 m2 powierzchni kolektorów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A65" authorId="0" shapeId="0" xr:uid="{00000000-0006-0000-0B00-000003000000}">
      <text>
        <r>
          <rPr>
            <b/>
            <sz val="8"/>
            <color indexed="81"/>
            <rFont val="Tahoma"/>
            <family val="2"/>
            <charset val="238"/>
          </rPr>
          <t>Koszty wykonania przyłącza i instalacji gazowej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<sst xmlns="http://schemas.openxmlformats.org/spreadsheetml/2006/main" count="502" uniqueCount="224">
  <si>
    <t xml:space="preserve"> </t>
  </si>
  <si>
    <t xml:space="preserve">  </t>
  </si>
  <si>
    <t>1. Ogólne dane</t>
  </si>
  <si>
    <t>kWh/rok</t>
  </si>
  <si>
    <t>3. Koszty inwestycyjne</t>
  </si>
  <si>
    <t>Łączne koszty inwestycyjne</t>
  </si>
  <si>
    <t>Przeglądy kominiarskie</t>
  </si>
  <si>
    <t>Konserwacja i przeglądy</t>
  </si>
  <si>
    <t>6. Koszty kapitałowe</t>
  </si>
  <si>
    <t>Okres użytkowania</t>
  </si>
  <si>
    <t>Suma kosztów kapitałowych</t>
  </si>
  <si>
    <t>7. Łączne koszty (4 + 5 + 6)</t>
  </si>
  <si>
    <t>Pompa ciepła</t>
  </si>
  <si>
    <t>Instalacja elektryczna ze sterowaniem</t>
  </si>
  <si>
    <t>Suma kosztów energii</t>
  </si>
  <si>
    <t>4. Koszty związane ze  zużyciem energii</t>
  </si>
  <si>
    <t>5. Koszty eksploatacyjne</t>
  </si>
  <si>
    <t>Suma kosztów eksploatacyjnych</t>
  </si>
  <si>
    <t>Kotłownia</t>
  </si>
  <si>
    <t>Kocioł</t>
  </si>
  <si>
    <t>Instalacja c.o.</t>
  </si>
  <si>
    <t>8. Koszty eksplotacji</t>
  </si>
  <si>
    <t>Łączne koszty  roczne</t>
  </si>
  <si>
    <t>Pomieszczenie kotła, (pompy ciepła)</t>
  </si>
  <si>
    <t>Koszty instalacji c.o. i zasobnika</t>
  </si>
  <si>
    <t>Prosty okres zwrotu nakładu inwestycyjnego:</t>
  </si>
  <si>
    <t>Wewnętrzna stopa zwrotu (prosta):</t>
  </si>
  <si>
    <t>Przychody roczne:</t>
  </si>
  <si>
    <t>Nakład:</t>
  </si>
  <si>
    <t>Bieżąca roczna stopa amortyzacji</t>
  </si>
  <si>
    <t>Stopa procentowa kredytu</t>
  </si>
  <si>
    <t>Przyłącze gazowe</t>
  </si>
  <si>
    <t>Przyrost kosztów nośników energii</t>
  </si>
  <si>
    <t>Dolne źródło</t>
  </si>
  <si>
    <t>Ilość energii pierwotnej</t>
  </si>
  <si>
    <t>Emisja CO2</t>
  </si>
  <si>
    <t>Koszty energii bez uwzględniania wzrostu cen energii</t>
  </si>
  <si>
    <t>Koszty energii z uwzględnianiem wzrostu cen energii</t>
  </si>
  <si>
    <t>Dolne źródło ciepła</t>
  </si>
  <si>
    <t>Zużycie  paliwa</t>
  </si>
  <si>
    <t>Koszty związane z siecią i instalacją gazową</t>
  </si>
  <si>
    <t>Komin lub przewód powietrzno-spalinowy</t>
  </si>
  <si>
    <t>Gazowy k. kondens.+ solarne wspom. c.w.u.</t>
  </si>
  <si>
    <t>Gazowy k. kondens.+ solarne wspom. c.w.u.+c.o.</t>
  </si>
  <si>
    <t>Udział energii odnawialnej</t>
  </si>
  <si>
    <t>Koszty eksplotacji i zużycia energii</t>
  </si>
  <si>
    <t>Udział c.w.u. w łącznym zapotrzebowaniu ciepła</t>
  </si>
  <si>
    <t>Kocioł gazowy kondensacyjny</t>
  </si>
  <si>
    <t>Komin lub  instalacja powietrzno-spalinowa</t>
  </si>
  <si>
    <t>Dofinansowanie</t>
  </si>
  <si>
    <t>Koszty roczne energii z uwzględnianiem wzrostu cen energii</t>
  </si>
  <si>
    <t>Kocioł olejowy+ solarne wspom. c.w.u.</t>
  </si>
  <si>
    <t>Gazowy k. kondens.+ solarne wspom. c.w.u</t>
  </si>
  <si>
    <t>Koszty kapitałowe</t>
  </si>
  <si>
    <t>Gazowy k. kondens.+ solarne wspomag. c.w.u.</t>
  </si>
  <si>
    <t>Kocioł olejowy+ solarne wspomag. c.w.u.</t>
  </si>
  <si>
    <t>Pompa ciepła typu powietrze/woda</t>
  </si>
  <si>
    <t>Pompa ciepła typu solanka/woda</t>
  </si>
  <si>
    <t>Cena energii elektrycznej urzadzeń pomocniczych (pompy obiegowe c.o.)</t>
  </si>
  <si>
    <t>Koszty zużycia energii</t>
  </si>
  <si>
    <t>Kocioł węglowy + solarne wspomag. c.w.u.</t>
  </si>
  <si>
    <t>Kocioł węglowy + solarne wspom. c.w.u.</t>
  </si>
  <si>
    <t>Kocioł węglowy+ solarne wspom. c.w.u.</t>
  </si>
  <si>
    <t>Zużycie energii brutto</t>
  </si>
  <si>
    <t>Zapotrzebowanie energii końcowej urządzenia grzewczego</t>
  </si>
  <si>
    <t>Roczny koszt energii odnawialnej</t>
  </si>
  <si>
    <t>pawel.lachman@portpc.pl</t>
  </si>
  <si>
    <t>wyniki obliczeń są w</t>
  </si>
  <si>
    <t>Kocioł z montażem i uruchomieniem</t>
  </si>
  <si>
    <t>Sezonowy współczynnik efektywności SCOP (SPF)</t>
  </si>
  <si>
    <t>Założenia</t>
  </si>
  <si>
    <t>2. Dane dotyczące zużycia energii</t>
  </si>
  <si>
    <t>Ubezpieczenie (kontrola i nadzór ręczny)</t>
  </si>
  <si>
    <t>Liczba osób</t>
  </si>
  <si>
    <t>osób</t>
  </si>
  <si>
    <t>Zapotrzebowanie c.w.u. / osobę / dobę</t>
  </si>
  <si>
    <t>l./os./dzień</t>
  </si>
  <si>
    <t>Temperatura ciepłej wody</t>
  </si>
  <si>
    <t>Temperatura zimnej wody</t>
  </si>
  <si>
    <t xml:space="preserve">Zapotrzebowanie ciepła dla c.w.u. </t>
  </si>
  <si>
    <t>Sprawność urządzenia grzewczego  (wg VDI 2067, dla k. do ciepła spalania)</t>
  </si>
  <si>
    <t>szarych polach</t>
  </si>
  <si>
    <t>lat</t>
  </si>
  <si>
    <r>
      <t>m</t>
    </r>
    <r>
      <rPr>
        <b/>
        <vertAlign val="superscript"/>
        <sz val="11"/>
        <rFont val="Calibri"/>
        <family val="2"/>
        <charset val="238"/>
      </rPr>
      <t>2</t>
    </r>
  </si>
  <si>
    <r>
      <t>kWh/m</t>
    </r>
    <r>
      <rPr>
        <b/>
        <vertAlign val="superscript"/>
        <sz val="11"/>
        <rFont val="Calibri"/>
        <family val="2"/>
        <charset val="238"/>
      </rPr>
      <t>2</t>
    </r>
    <r>
      <rPr>
        <b/>
        <sz val="11"/>
        <rFont val="Calibri"/>
        <family val="2"/>
        <charset val="238"/>
      </rPr>
      <t>/rok</t>
    </r>
  </si>
  <si>
    <r>
      <t>o</t>
    </r>
    <r>
      <rPr>
        <b/>
        <sz val="11"/>
        <rFont val="Calibri"/>
        <family val="2"/>
        <charset val="238"/>
      </rPr>
      <t>C</t>
    </r>
  </si>
  <si>
    <r>
      <t>1 m</t>
    </r>
    <r>
      <rPr>
        <vertAlign val="superscript"/>
        <sz val="8"/>
        <rFont val="Calibri"/>
        <family val="2"/>
        <charset val="238"/>
      </rPr>
      <t>3</t>
    </r>
    <r>
      <rPr>
        <sz val="8"/>
        <rFont val="Calibri"/>
        <family val="2"/>
        <charset val="238"/>
      </rPr>
      <t xml:space="preserve"> gazu E (GZ 50) odpowiada ca. 10,5 kWh ciepła spalania</t>
    </r>
  </si>
  <si>
    <t>Zapotrzebowanie ciepła użytkowego na ogrzewanie</t>
  </si>
  <si>
    <t>Roczne zapotrzebowanie ciepła użytk.  na ogrzewanie</t>
  </si>
  <si>
    <t>Dofinansowanie ze strony Państwa, Gminy (wprowadzać wartości ujemne)</t>
  </si>
  <si>
    <r>
      <t>kWh/</t>
    </r>
    <r>
      <rPr>
        <b/>
        <sz val="11"/>
        <rFont val="Calibri"/>
        <family val="2"/>
        <charset val="238"/>
      </rPr>
      <t>rok</t>
    </r>
  </si>
  <si>
    <t>Łączne roczne zapotrzebowanie ciepła dla c.o. i c.w.u.</t>
  </si>
  <si>
    <t>Autor: Paweł Lachman</t>
  </si>
  <si>
    <t xml:space="preserve">Uwaga: Autor tego arkusza  oświadcza że dołożył starań aby wykluczyć błedy w tym narzędziu, jednak nie ponosi odpowiedzialności za ewentualne ukryte błędy w arkuszu,  oraz za wszelkie negatywne skutki i straty wynikające z jego użytkowania. </t>
  </si>
  <si>
    <t>Okres porównawczy (okres kredytu)</t>
  </si>
  <si>
    <t>Pompa ciepła z montażem</t>
  </si>
  <si>
    <t>Łączny współczynnik pokrycia c.o. i c.w.u. przez kolektory słoneczne (lub PV)</t>
  </si>
  <si>
    <t>Zapotrzebowanie na chłodzenie budynku</t>
  </si>
  <si>
    <t>Koszty chłodzenia</t>
  </si>
  <si>
    <t>Łączne koszty eksploatacyjne z instalacją c.o.</t>
  </si>
  <si>
    <t>Łączne koszty eksploatacyjne bez instalacji c.o.</t>
  </si>
  <si>
    <t>Roczny koszt dodatk. kredytu 10 lat z ratą (6%) do ŚPC</t>
  </si>
  <si>
    <t>Roczny koszt dodatk. kredytu 10 lat z ratą (6%) do NPC</t>
  </si>
  <si>
    <t>Łączne, roczne koszty zużycia energii i obsługi</t>
  </si>
  <si>
    <t>Instalacja solarna lub PV lub chłodzenie</t>
  </si>
  <si>
    <t>Koszty obsługi, serwisu i napraw</t>
  </si>
  <si>
    <t>Łącznie</t>
  </si>
  <si>
    <r>
      <t xml:space="preserve">Cena energii </t>
    </r>
    <r>
      <rPr>
        <vertAlign val="superscript"/>
        <sz val="11"/>
        <rFont val="Calibri"/>
        <family val="2"/>
        <charset val="238"/>
      </rPr>
      <t>1) dane 2017</t>
    </r>
  </si>
  <si>
    <t>Obliczenie kosztów rocznych wg  PORT PC cz. 6 (VDI 2067 )</t>
  </si>
  <si>
    <t>Powierzchnia ogrzewana budynku</t>
  </si>
  <si>
    <t>Udział w %</t>
  </si>
  <si>
    <r>
      <t xml:space="preserve"> m</t>
    </r>
    <r>
      <rPr>
        <vertAlign val="superscript"/>
        <sz val="9"/>
        <rFont val="Calibri"/>
        <family val="2"/>
        <charset val="238"/>
      </rPr>
      <t>3</t>
    </r>
    <r>
      <rPr>
        <sz val="9"/>
        <rFont val="Calibri"/>
        <family val="2"/>
        <charset val="238"/>
      </rPr>
      <t>/rok</t>
    </r>
  </si>
  <si>
    <t>Koszt energii w taryfie G13</t>
  </si>
  <si>
    <t>gr/kWh</t>
  </si>
  <si>
    <r>
      <t>Wskazówki dla użytkownika:</t>
    </r>
    <r>
      <rPr>
        <sz val="10"/>
        <rFont val="Calibri"/>
        <family val="2"/>
        <charset val="238"/>
      </rPr>
      <t xml:space="preserve">     proszę wypełniać  tylko </t>
    </r>
  </si>
  <si>
    <t xml:space="preserve"> beżowe pola</t>
  </si>
  <si>
    <t>Łączny współczynnik pokrycia ciepłej wody przez kolektory słoneczne</t>
  </si>
  <si>
    <t>PLN</t>
  </si>
  <si>
    <t>PLN/kWh</t>
  </si>
  <si>
    <t>PLN/rok</t>
  </si>
  <si>
    <t>Części zamienne i naprawy wg PORT PC cz. 6 (VDI 2067)</t>
  </si>
  <si>
    <t>Koszty energii urządzeń pomocniczych (opłata stała operatora energii elektrycznej)</t>
  </si>
  <si>
    <t>Magazyn opału</t>
  </si>
  <si>
    <t>Dodatkowy nakład do kotła elektrycznego</t>
  </si>
  <si>
    <t xml:space="preserve">Dodatkowy nakład do kotła gazowego </t>
  </si>
  <si>
    <t>średnia cena taryfy G13</t>
  </si>
  <si>
    <t>Oszczędność do gazowego kotła</t>
  </si>
  <si>
    <t>Oszczędność do kotła elektrycznego</t>
  </si>
  <si>
    <t>Roczne koszty napraw urządzeń grzewczych zgodnie z wytycznymi PORT PC cz. 6 (VDI 2067)</t>
  </si>
  <si>
    <t>Do kotła węglowego w. C</t>
  </si>
  <si>
    <t>Do wariantu A</t>
  </si>
  <si>
    <t>Do kotła elektrycznego</t>
  </si>
  <si>
    <t>Koszty związane ze  zużyciem energii</t>
  </si>
  <si>
    <t>Koszty eksploatacyjne</t>
  </si>
  <si>
    <t xml:space="preserve">Uwaga: Autor tego arkusza  oświadcza, że dołożył starań aby wykluczyć błedy w tym narzędziu, jednak nie ponosi odpowiedzialności za ewentualne ukryte błędy w arkuszu,  oraz za wszelkie negatywne skutki i straty wynikające z jego użytkowania. </t>
  </si>
  <si>
    <t>Dodatkowy nakład do kotła węglowego w.C</t>
  </si>
  <si>
    <t>Oszczędność do  kotła węglowego C</t>
  </si>
  <si>
    <t>Oszczędność do  kotła węglowego B</t>
  </si>
  <si>
    <t>Dodatkowy nakład do kotła węglowego w.B</t>
  </si>
  <si>
    <t>Do kotła węglowego w. B</t>
  </si>
  <si>
    <t>Okres kredytu</t>
  </si>
  <si>
    <t xml:space="preserve"> Wariant C</t>
  </si>
  <si>
    <t>%</t>
  </si>
  <si>
    <t xml:space="preserve">% </t>
  </si>
  <si>
    <t xml:space="preserve">  Wariant B</t>
  </si>
  <si>
    <t xml:space="preserve">%  </t>
  </si>
  <si>
    <t xml:space="preserve">Kocioł gazowy, kondensacyjny o spr. </t>
  </si>
  <si>
    <t xml:space="preserve">Kocioł elektryczny o spr. </t>
  </si>
  <si>
    <t xml:space="preserve">  Wariant D</t>
  </si>
  <si>
    <t xml:space="preserve">  Wariant E</t>
  </si>
  <si>
    <t xml:space="preserve">  Wariant F</t>
  </si>
  <si>
    <t xml:space="preserve">  Wariant G</t>
  </si>
  <si>
    <t xml:space="preserve">Wariant A, KG-spr. </t>
  </si>
  <si>
    <t>Wariant F, PC P/W, SPF=</t>
  </si>
  <si>
    <t xml:space="preserve">  Wariant A</t>
  </si>
  <si>
    <r>
      <t>kWh/(m</t>
    </r>
    <r>
      <rPr>
        <b/>
        <vertAlign val="superscript"/>
        <sz val="11"/>
        <rFont val="Calibri"/>
        <family val="2"/>
        <charset val="238"/>
      </rPr>
      <t>2</t>
    </r>
    <r>
      <rPr>
        <b/>
        <sz val="11"/>
        <rFont val="Calibri"/>
        <family val="2"/>
        <charset val="238"/>
      </rPr>
      <t>rok)</t>
    </r>
  </si>
  <si>
    <t xml:space="preserve">Uwaga: Autor tego arkusza  oświadcza, że dołożył starań aby wykluczyć błedy w tym narzędziu, jednak nie ponosi odpowiedzialności za ewentualne ukryte błędy w arkuszu,  oraz za wszelkie negatywne skutki  i straty wynikające z jego użytkowania. </t>
  </si>
  <si>
    <t>Kokpit analizy ekonomicznej</t>
  </si>
  <si>
    <t xml:space="preserve">Uwaga: Autor tego arkusza  oświadcza, że dołożył starań aby wykluczyć błedy w tym narzędziu, jednak nie ponosi odpowiedzialności za ewentualne ukryte błędy,  oraz za wszelkie negatywne skutki i straty wynikające z jego użytkowania. </t>
  </si>
  <si>
    <t>Koszt jednostowy  [PLN/jednostka] np. PLN/tona</t>
  </si>
  <si>
    <t>Jednostkowa wartość opałowa [kWh/jednostka] np. kWh/kg</t>
  </si>
  <si>
    <t xml:space="preserve">Wariant D, KE-spr. </t>
  </si>
  <si>
    <r>
      <t xml:space="preserve">Dofinansowanie do inwestycji </t>
    </r>
    <r>
      <rPr>
        <sz val="11"/>
        <rFont val="Calibri"/>
        <family val="2"/>
        <charset val="238"/>
      </rPr>
      <t>(wprowadzać wartości ujemne)</t>
    </r>
  </si>
  <si>
    <t>Koszty inwestycyjne</t>
  </si>
  <si>
    <t>kWh/kg</t>
  </si>
  <si>
    <t>PLN/tona</t>
  </si>
  <si>
    <t>Dane dotyczące zużycia energii i zryczałtowane koszty serwisu i napraw</t>
  </si>
  <si>
    <t>Okres użytkowania wg VDI 2067 [lata]</t>
  </si>
  <si>
    <t xml:space="preserve">Obliczenie całkowitych kosztów rocznych wg  PORT PC cz. 6 (VDI 2067) </t>
  </si>
  <si>
    <t>Obliczenie całkowitych kosztów rocznych wg  PORT PC cz. 6 (VDI 2067)</t>
  </si>
  <si>
    <t>Instalacja kolektorów słonecznych, paneli PV lub chłodzenia</t>
  </si>
  <si>
    <t xml:space="preserve">Porównanie kosztów inwestycyjnych </t>
  </si>
  <si>
    <t>Całkowite koszty roczne wg PORT PC cz. 6 (VDI 2067)</t>
  </si>
  <si>
    <t>Prosty okres zwrotu nakładów inwestycyjnych</t>
  </si>
  <si>
    <t>Zryczałtowane roczne koszty napraw urządzeń grzewczych zgodnie z wyt. PORT PC cz. 6 (VDI 2067)</t>
  </si>
  <si>
    <t xml:space="preserve"> tys. PLN</t>
  </si>
  <si>
    <t xml:space="preserve"> Założony koszt pompy ciepła typu P/W z montażem (wariant F) wynosi </t>
  </si>
  <si>
    <r>
      <t>Wskazówki dla użytkownika:</t>
    </r>
    <r>
      <rPr>
        <sz val="10"/>
        <rFont val="Calibri"/>
        <family val="2"/>
        <charset val="238"/>
      </rPr>
      <t xml:space="preserve">                    proszę wypełniać  tylko </t>
    </r>
  </si>
  <si>
    <r>
      <t>Wskazówki dla użytkownika:</t>
    </r>
    <r>
      <rPr>
        <sz val="10"/>
        <rFont val="Calibri"/>
        <family val="2"/>
        <charset val="238"/>
      </rPr>
      <t xml:space="preserve">           proszę wypełniać  tylko </t>
    </r>
  </si>
  <si>
    <t>Liczba osób w budynku</t>
  </si>
  <si>
    <t>Temperatura ciepłej wody użytkowej</t>
  </si>
  <si>
    <t>Dane dot. budynku i warunków kredytu</t>
  </si>
  <si>
    <t xml:space="preserve">   Proszę kliknąć na wybrany wykres lub przycisk</t>
  </si>
  <si>
    <t>Koszty roczne dot. eksploatacji  wg PORT PC cz. 6 (VDI 2067)</t>
  </si>
  <si>
    <t>SERR chłodzenia</t>
  </si>
  <si>
    <t>Kocioł z montażem, ew. buforem c.o. i uruchomieniem</t>
  </si>
  <si>
    <t xml:space="preserve">Koszty instalacji c.o. </t>
  </si>
  <si>
    <t>Wspólczynnik efektywności chłodzenia SERR klimatyzatora lub rewersyjnej pompy ciepła</t>
  </si>
  <si>
    <t>Instalacja chłodzenia, kolektorów słonecznych lub/i paneli PV</t>
  </si>
  <si>
    <t>Kocioł z osprzętem, montażem i uruchomieniem</t>
  </si>
  <si>
    <t>Sieć i instalacja gazowa</t>
  </si>
  <si>
    <t>Średni koszt energii w taryfie elektycznej do celów chłodzenia</t>
  </si>
  <si>
    <t>Cena nośników energii -ogrzewanie</t>
  </si>
  <si>
    <t xml:space="preserve">Gazowa pompa ciepła z wsp.  SPER </t>
  </si>
  <si>
    <t xml:space="preserve">Wariant C, Pelet-spr. </t>
  </si>
  <si>
    <t xml:space="preserve">Kocioł na pelet o spr. </t>
  </si>
  <si>
    <t>Pomieszczenie kotła,</t>
  </si>
  <si>
    <t>Wariant G, PC S/W, SPF=</t>
  </si>
  <si>
    <t>Wzrost cen energii</t>
  </si>
  <si>
    <t>%/rok</t>
  </si>
  <si>
    <t>Całkowite koszty zakumulowane i okres zwrotu nakładów inwestycyjnych</t>
  </si>
  <si>
    <t>Wariant E, PV+ PC P/W, SPF=</t>
  </si>
  <si>
    <t>Wariant G PC P/W</t>
  </si>
  <si>
    <t>Wariant F PC S/W</t>
  </si>
  <si>
    <t>Centralne ogrzewanie</t>
  </si>
  <si>
    <t>Ciepła woda użytkowa</t>
  </si>
  <si>
    <t>Chłodzenie</t>
  </si>
  <si>
    <t>Wariant F PC P/W</t>
  </si>
  <si>
    <t>Wariant G PC S/W</t>
  </si>
  <si>
    <t>Wariant B GPC P/W</t>
  </si>
  <si>
    <t xml:space="preserve">Wariant B, Gaz PC-wsp. ef. </t>
  </si>
  <si>
    <r>
      <t xml:space="preserve">Wsp. etas urządzenia grzewczego </t>
    </r>
    <r>
      <rPr>
        <sz val="11"/>
        <rFont val="Calibri"/>
        <family val="2"/>
        <charset val="238"/>
      </rPr>
      <t xml:space="preserve"> </t>
    </r>
    <r>
      <rPr>
        <b/>
        <sz val="11"/>
        <rFont val="Calibri"/>
        <family val="2"/>
        <charset val="238"/>
      </rPr>
      <t>na c.o</t>
    </r>
    <r>
      <rPr>
        <sz val="11"/>
        <rFont val="Calibri"/>
        <family val="2"/>
        <charset val="238"/>
      </rPr>
      <t xml:space="preserve">. </t>
    </r>
    <r>
      <rPr>
        <sz val="10"/>
        <rFont val="Calibri"/>
        <family val="2"/>
        <charset val="238"/>
      </rPr>
      <t>(z karty produktu dla temp. 35</t>
    </r>
    <r>
      <rPr>
        <vertAlign val="superscript"/>
        <sz val="10"/>
        <rFont val="Calibri"/>
        <family val="2"/>
        <charset val="238"/>
      </rPr>
      <t>o</t>
    </r>
    <r>
      <rPr>
        <sz val="10"/>
        <rFont val="Calibri"/>
        <family val="2"/>
        <charset val="238"/>
      </rPr>
      <t>C i klimatu umiarkowanego)</t>
    </r>
  </si>
  <si>
    <r>
      <t xml:space="preserve">Wsp. etawh urządzenia grzewczego na c.w.u. </t>
    </r>
    <r>
      <rPr>
        <sz val="11"/>
        <rFont val="Calibri"/>
        <family val="2"/>
        <charset val="238"/>
      </rPr>
      <t xml:space="preserve"> </t>
    </r>
    <r>
      <rPr>
        <sz val="10"/>
        <rFont val="Calibri"/>
        <family val="2"/>
        <charset val="238"/>
      </rPr>
      <t>(z karty produktu dla temp. 35</t>
    </r>
    <r>
      <rPr>
        <vertAlign val="superscript"/>
        <sz val="10"/>
        <rFont val="Calibri"/>
        <family val="2"/>
        <charset val="238"/>
      </rPr>
      <t>o</t>
    </r>
    <r>
      <rPr>
        <sz val="10"/>
        <rFont val="Calibri"/>
        <family val="2"/>
        <charset val="238"/>
      </rPr>
      <t>C i klimatu umiarkowanego)</t>
    </r>
  </si>
  <si>
    <t>l./(os.*doba)</t>
  </si>
  <si>
    <t xml:space="preserve">Powietrzna pompa ciepła o SCOP = </t>
  </si>
  <si>
    <t xml:space="preserve">Gruntowa pompa ciepła o SCOP = </t>
  </si>
  <si>
    <t>Ręczna obsługa  - koszty roczne</t>
  </si>
  <si>
    <t xml:space="preserve">PV </t>
  </si>
  <si>
    <t xml:space="preserve"> kWp + Pompa c. P/W o SCOP=</t>
  </si>
  <si>
    <t xml:space="preserve">Sprawność lub SCOP urządzenia grzewczego na cele c.o. i na c.w.u. </t>
  </si>
  <si>
    <t>osoby</t>
  </si>
  <si>
    <t>Dotacja</t>
  </si>
  <si>
    <t>Dofinasowanie</t>
  </si>
  <si>
    <t>Instalacja chłodzenia lub paneli 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</si>
</sst>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#,##0.00\ &quot;zl&quot;;[Red]\-#,##0.00\ &quot;zl&quot;"/>
    <numFmt numFmtId="165" formatCode="_-* #,##0\ &quot;zl&quot;_-;\-* #,##0\ &quot;zl&quot;_-;_-* &quot;-&quot;\ &quot;zl&quot;_-;_-@_-"/>
    <numFmt numFmtId="166" formatCode="_-* #,##0.00\ _D_M_-;\-* #,##0.00\ _D_M_-;_-* &quot;-&quot;??\ _D_M_-;_-@_-"/>
    <numFmt numFmtId="167" formatCode="General\ &quot;%&quot;"/>
    <numFmt numFmtId="168" formatCode="0.0"/>
    <numFmt numFmtId="169" formatCode="0.0%"/>
    <numFmt numFmtId="170" formatCode="0\ &quot;lat&quot;"/>
    <numFmt numFmtId="171" formatCode="0.0\ &quot;lat&quot;"/>
    <numFmt numFmtId="172" formatCode="_-* #,##0\ _D_M_-;\-* #,##0\ _D_M_-;_-* &quot;-&quot;??\ _D_M_-;_-@_-"/>
    <numFmt numFmtId="173" formatCode="_-* #,##0.00000\ _D_M_-;\-* #,##0.00000\ _D_M_-;_-* &quot;-&quot;??\ _D_M_-;_-@_-"/>
    <numFmt numFmtId="174" formatCode="#,##0_ ;[Red]\-#,##0\ "/>
    <numFmt numFmtId="175" formatCode="#,##0\ &quot;zł&quot;"/>
    <numFmt numFmtId="176" formatCode="#,##0.00_ ;[Red]\-#,##0.00\ "/>
  </numFmts>
  <fonts count="81" x14ac:knownFonts="1">
    <font>
      <sz val="10"/>
      <name val="Arial"/>
    </font>
    <font>
      <sz val="10"/>
      <name val="Arial"/>
      <family val="2"/>
      <charset val="238"/>
    </font>
    <font>
      <b/>
      <sz val="14"/>
      <name val="Arial"/>
      <family val="2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u/>
      <sz val="9"/>
      <color indexed="12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</font>
    <font>
      <b/>
      <sz val="11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8"/>
      <name val="Calibri"/>
      <family val="2"/>
      <charset val="238"/>
    </font>
    <font>
      <vertAlign val="superscript"/>
      <sz val="8"/>
      <name val="Calibri"/>
      <family val="2"/>
      <charset val="238"/>
    </font>
    <font>
      <vertAlign val="superscript"/>
      <sz val="9"/>
      <name val="Calibri"/>
      <family val="2"/>
      <charset val="238"/>
    </font>
    <font>
      <vertAlign val="superscript"/>
      <sz val="11"/>
      <name val="Calibri"/>
      <family val="2"/>
      <charset val="238"/>
    </font>
    <font>
      <b/>
      <sz val="11"/>
      <name val="Arial"/>
      <family val="2"/>
    </font>
    <font>
      <sz val="1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u/>
      <sz val="9"/>
      <name val="Arial"/>
      <family val="2"/>
      <charset val="238"/>
    </font>
    <font>
      <vertAlign val="superscript"/>
      <sz val="1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3F3F76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9"/>
      <color indexed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vertAlign val="superscript"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color indexed="10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0"/>
      <color indexed="9"/>
      <name val="Calibri"/>
      <family val="2"/>
      <charset val="238"/>
      <scheme val="minor"/>
    </font>
    <font>
      <b/>
      <sz val="10"/>
      <color indexed="9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5" tint="-0.499984740745262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color theme="0"/>
      <name val="Calibri"/>
      <family val="2"/>
      <charset val="238"/>
      <scheme val="minor"/>
    </font>
    <font>
      <b/>
      <sz val="10"/>
      <color theme="0"/>
      <name val="Arial"/>
      <family val="2"/>
      <charset val="238"/>
    </font>
    <font>
      <sz val="10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sz val="12"/>
      <color indexed="9"/>
      <name val="Calibri"/>
      <family val="2"/>
      <charset val="238"/>
      <scheme val="minor"/>
    </font>
    <font>
      <b/>
      <sz val="12"/>
      <color rgb="FF3F3F76"/>
      <name val="Calibri"/>
      <family val="2"/>
      <charset val="238"/>
      <scheme val="minor"/>
    </font>
    <font>
      <b/>
      <sz val="12"/>
      <color theme="5"/>
      <name val="Calibri"/>
      <family val="2"/>
      <charset val="238"/>
      <scheme val="minor"/>
    </font>
    <font>
      <sz val="10"/>
      <color theme="0" tint="-4.9989318521683403E-2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0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/>
      <diagonal/>
    </border>
  </borders>
  <cellStyleXfs count="12">
    <xf numFmtId="0" fontId="0" fillId="0" borderId="0"/>
    <xf numFmtId="0" fontId="25" fillId="3" borderId="16" applyNumberFormat="0" applyAlignment="0" applyProtection="0"/>
    <xf numFmtId="0" fontId="26" fillId="4" borderId="17" applyNumberFormat="0" applyAlignment="0" applyProtection="0"/>
    <xf numFmtId="166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8" fillId="0" borderId="18" applyNumberFormat="0" applyFill="0" applyAlignment="0" applyProtection="0"/>
    <xf numFmtId="0" fontId="29" fillId="0" borderId="19" applyNumberFormat="0" applyFill="0" applyAlignment="0" applyProtection="0"/>
    <xf numFmtId="0" fontId="30" fillId="5" borderId="0" applyNumberFormat="0" applyBorder="0" applyAlignment="0" applyProtection="0"/>
    <xf numFmtId="0" fontId="1" fillId="0" borderId="0"/>
    <xf numFmtId="0" fontId="31" fillId="4" borderId="16" applyNumberFormat="0" applyAlignment="0" applyProtection="0"/>
    <xf numFmtId="9" fontId="1" fillId="0" borderId="0" applyFont="0" applyFill="0" applyBorder="0" applyAlignment="0" applyProtection="0"/>
    <xf numFmtId="0" fontId="33" fillId="6" borderId="0" applyNumberFormat="0" applyBorder="0" applyAlignment="0" applyProtection="0"/>
  </cellStyleXfs>
  <cellXfs count="310">
    <xf numFmtId="0" fontId="0" fillId="0" borderId="0" xfId="0"/>
    <xf numFmtId="174" fontId="31" fillId="4" borderId="16" xfId="9" applyNumberFormat="1" applyAlignment="1" applyProtection="1">
      <alignment horizontal="center" vertical="center"/>
      <protection locked="0"/>
    </xf>
    <xf numFmtId="174" fontId="34" fillId="7" borderId="16" xfId="1" applyNumberFormat="1" applyFont="1" applyFill="1" applyAlignment="1" applyProtection="1">
      <alignment horizontal="center" vertical="center"/>
      <protection locked="0"/>
    </xf>
    <xf numFmtId="174" fontId="35" fillId="7" borderId="16" xfId="1" applyNumberFormat="1" applyFont="1" applyFill="1" applyAlignment="1" applyProtection="1">
      <alignment horizontal="left" vertical="center"/>
      <protection locked="0"/>
    </xf>
    <xf numFmtId="0" fontId="36" fillId="0" borderId="0" xfId="0" applyFont="1"/>
    <xf numFmtId="0" fontId="37" fillId="0" borderId="0" xfId="4" applyFont="1" applyAlignment="1" applyProtection="1"/>
    <xf numFmtId="0" fontId="38" fillId="0" borderId="0" xfId="0" applyFont="1"/>
    <xf numFmtId="0" fontId="36" fillId="0" borderId="0" xfId="0" applyFont="1" applyAlignment="1">
      <alignment horizontal="center"/>
    </xf>
    <xf numFmtId="0" fontId="36" fillId="0" borderId="0" xfId="0" applyFont="1" applyAlignment="1">
      <alignment horizontal="right"/>
    </xf>
    <xf numFmtId="0" fontId="38" fillId="0" borderId="1" xfId="0" applyFont="1" applyBorder="1"/>
    <xf numFmtId="0" fontId="36" fillId="0" borderId="2" xfId="0" applyFont="1" applyBorder="1"/>
    <xf numFmtId="0" fontId="36" fillId="0" borderId="3" xfId="0" applyFont="1" applyBorder="1"/>
    <xf numFmtId="0" fontId="39" fillId="2" borderId="4" xfId="0" applyFont="1" applyFill="1" applyBorder="1" applyAlignment="1">
      <alignment vertical="center"/>
    </xf>
    <xf numFmtId="0" fontId="39" fillId="2" borderId="0" xfId="0" applyFont="1" applyFill="1" applyAlignment="1">
      <alignment horizontal="left" vertical="center"/>
    </xf>
    <xf numFmtId="0" fontId="36" fillId="0" borderId="5" xfId="0" applyFont="1" applyBorder="1"/>
    <xf numFmtId="0" fontId="39" fillId="2" borderId="0" xfId="0" applyFont="1" applyFill="1" applyAlignment="1">
      <alignment horizontal="left"/>
    </xf>
    <xf numFmtId="0" fontId="40" fillId="2" borderId="0" xfId="0" applyFont="1" applyFill="1" applyAlignment="1">
      <alignment horizontal="left"/>
    </xf>
    <xf numFmtId="0" fontId="39" fillId="2" borderId="4" xfId="0" applyFont="1" applyFill="1" applyBorder="1"/>
    <xf numFmtId="0" fontId="41" fillId="0" borderId="0" xfId="0" applyFont="1"/>
    <xf numFmtId="0" fontId="39" fillId="0" borderId="4" xfId="0" applyFont="1" applyBorder="1"/>
    <xf numFmtId="169" fontId="41" fillId="0" borderId="0" xfId="0" applyNumberFormat="1" applyFont="1" applyAlignment="1">
      <alignment horizontal="center"/>
    </xf>
    <xf numFmtId="0" fontId="42" fillId="0" borderId="0" xfId="0" applyFont="1"/>
    <xf numFmtId="0" fontId="43" fillId="0" borderId="0" xfId="0" applyFont="1"/>
    <xf numFmtId="0" fontId="36" fillId="0" borderId="4" xfId="0" applyFont="1" applyBorder="1"/>
    <xf numFmtId="9" fontId="41" fillId="0" borderId="0" xfId="0" applyNumberFormat="1" applyFont="1" applyAlignment="1">
      <alignment horizontal="center"/>
    </xf>
    <xf numFmtId="0" fontId="36" fillId="0" borderId="1" xfId="0" applyFont="1" applyBorder="1"/>
    <xf numFmtId="0" fontId="36" fillId="0" borderId="6" xfId="0" applyFont="1" applyBorder="1"/>
    <xf numFmtId="0" fontId="36" fillId="0" borderId="7" xfId="0" applyFont="1" applyBorder="1"/>
    <xf numFmtId="0" fontId="44" fillId="0" borderId="4" xfId="0" applyFont="1" applyBorder="1"/>
    <xf numFmtId="0" fontId="45" fillId="0" borderId="0" xfId="0" applyFont="1"/>
    <xf numFmtId="0" fontId="45" fillId="0" borderId="6" xfId="0" applyFont="1" applyBorder="1"/>
    <xf numFmtId="0" fontId="39" fillId="2" borderId="0" xfId="0" applyFont="1" applyFill="1" applyAlignment="1">
      <alignment horizontal="center"/>
    </xf>
    <xf numFmtId="0" fontId="39" fillId="2" borderId="6" xfId="0" applyFont="1" applyFill="1" applyBorder="1" applyAlignment="1">
      <alignment horizontal="center"/>
    </xf>
    <xf numFmtId="0" fontId="39" fillId="2" borderId="5" xfId="0" applyFont="1" applyFill="1" applyBorder="1" applyAlignment="1">
      <alignment horizontal="center"/>
    </xf>
    <xf numFmtId="0" fontId="39" fillId="2" borderId="6" xfId="0" applyFont="1" applyFill="1" applyBorder="1" applyAlignment="1" applyProtection="1">
      <alignment horizontal="center"/>
      <protection locked="0"/>
    </xf>
    <xf numFmtId="0" fontId="38" fillId="0" borderId="4" xfId="0" applyFont="1" applyBorder="1"/>
    <xf numFmtId="0" fontId="44" fillId="0" borderId="6" xfId="0" applyFont="1" applyBorder="1" applyProtection="1">
      <protection locked="0"/>
    </xf>
    <xf numFmtId="9" fontId="44" fillId="0" borderId="6" xfId="0" applyNumberFormat="1" applyFont="1" applyBorder="1"/>
    <xf numFmtId="9" fontId="39" fillId="2" borderId="6" xfId="0" applyNumberFormat="1" applyFont="1" applyFill="1" applyBorder="1" applyAlignment="1">
      <alignment horizontal="center"/>
    </xf>
    <xf numFmtId="0" fontId="45" fillId="0" borderId="6" xfId="0" applyFont="1" applyBorder="1" applyAlignment="1">
      <alignment horizontal="center"/>
    </xf>
    <xf numFmtId="3" fontId="44" fillId="0" borderId="8" xfId="0" applyNumberFormat="1" applyFont="1" applyBorder="1" applyAlignment="1">
      <alignment horizontal="center"/>
    </xf>
    <xf numFmtId="3" fontId="44" fillId="0" borderId="9" xfId="0" applyNumberFormat="1" applyFont="1" applyBorder="1" applyAlignment="1">
      <alignment horizontal="center"/>
    </xf>
    <xf numFmtId="0" fontId="46" fillId="0" borderId="6" xfId="0" applyFont="1" applyBorder="1" applyAlignment="1">
      <alignment horizontal="center"/>
    </xf>
    <xf numFmtId="3" fontId="44" fillId="0" borderId="4" xfId="0" applyNumberFormat="1" applyFont="1" applyBorder="1" applyAlignment="1">
      <alignment horizontal="center"/>
    </xf>
    <xf numFmtId="3" fontId="44" fillId="0" borderId="6" xfId="0" applyNumberFormat="1" applyFont="1" applyBorder="1" applyAlignment="1">
      <alignment horizontal="center"/>
    </xf>
    <xf numFmtId="3" fontId="44" fillId="0" borderId="0" xfId="0" applyNumberFormat="1" applyFont="1" applyAlignment="1">
      <alignment horizontal="center"/>
    </xf>
    <xf numFmtId="0" fontId="44" fillId="0" borderId="0" xfId="0" applyFont="1"/>
    <xf numFmtId="0" fontId="44" fillId="0" borderId="6" xfId="0" applyFont="1" applyBorder="1"/>
    <xf numFmtId="0" fontId="45" fillId="0" borderId="4" xfId="0" applyFont="1" applyBorder="1"/>
    <xf numFmtId="0" fontId="45" fillId="0" borderId="0" xfId="0" applyFont="1" applyAlignment="1">
      <alignment horizontal="right"/>
    </xf>
    <xf numFmtId="166" fontId="47" fillId="0" borderId="0" xfId="3" applyFont="1"/>
    <xf numFmtId="0" fontId="48" fillId="0" borderId="9" xfId="0" applyFont="1" applyBorder="1"/>
    <xf numFmtId="0" fontId="48" fillId="0" borderId="10" xfId="0" applyFont="1" applyBorder="1"/>
    <xf numFmtId="0" fontId="48" fillId="0" borderId="8" xfId="0" applyFont="1" applyBorder="1" applyAlignment="1">
      <alignment horizontal="center"/>
    </xf>
    <xf numFmtId="0" fontId="44" fillId="0" borderId="9" xfId="0" applyFont="1" applyBorder="1"/>
    <xf numFmtId="0" fontId="45" fillId="0" borderId="10" xfId="0" applyFont="1" applyBorder="1"/>
    <xf numFmtId="0" fontId="45" fillId="0" borderId="8" xfId="0" applyFont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8" fillId="0" borderId="11" xfId="0" applyFont="1" applyBorder="1"/>
    <xf numFmtId="0" fontId="45" fillId="0" borderId="12" xfId="0" applyFont="1" applyBorder="1"/>
    <xf numFmtId="0" fontId="45" fillId="0" borderId="13" xfId="0" applyFont="1" applyBorder="1" applyAlignment="1">
      <alignment horizontal="center"/>
    </xf>
    <xf numFmtId="3" fontId="31" fillId="4" borderId="16" xfId="9" applyNumberFormat="1" applyAlignment="1">
      <alignment horizontal="center"/>
    </xf>
    <xf numFmtId="0" fontId="44" fillId="0" borderId="7" xfId="0" applyFont="1" applyBorder="1"/>
    <xf numFmtId="0" fontId="44" fillId="0" borderId="1" xfId="0" applyFont="1" applyBorder="1"/>
    <xf numFmtId="2" fontId="26" fillId="4" borderId="17" xfId="2" applyNumberFormat="1" applyAlignment="1">
      <alignment horizontal="left" indent="3"/>
    </xf>
    <xf numFmtId="1" fontId="31" fillId="4" borderId="16" xfId="9" applyNumberFormat="1" applyAlignment="1">
      <alignment horizontal="center"/>
    </xf>
    <xf numFmtId="2" fontId="31" fillId="4" borderId="16" xfId="9" applyNumberFormat="1" applyAlignment="1">
      <alignment horizontal="center"/>
    </xf>
    <xf numFmtId="167" fontId="45" fillId="0" borderId="0" xfId="0" applyNumberFormat="1" applyFont="1" applyAlignment="1">
      <alignment horizontal="left"/>
    </xf>
    <xf numFmtId="0" fontId="44" fillId="0" borderId="5" xfId="0" applyFont="1" applyBorder="1"/>
    <xf numFmtId="166" fontId="36" fillId="0" borderId="0" xfId="3" applyFont="1"/>
    <xf numFmtId="173" fontId="36" fillId="0" borderId="6" xfId="3" applyNumberFormat="1" applyFont="1" applyBorder="1"/>
    <xf numFmtId="0" fontId="47" fillId="0" borderId="6" xfId="0" applyFont="1" applyBorder="1"/>
    <xf numFmtId="0" fontId="47" fillId="0" borderId="4" xfId="0" applyFont="1" applyBorder="1"/>
    <xf numFmtId="169" fontId="36" fillId="0" borderId="0" xfId="0" applyNumberFormat="1" applyFont="1" applyAlignment="1">
      <alignment horizontal="left"/>
    </xf>
    <xf numFmtId="3" fontId="44" fillId="0" borderId="5" xfId="0" applyNumberFormat="1" applyFont="1" applyBorder="1" applyAlignment="1">
      <alignment horizontal="center"/>
    </xf>
    <xf numFmtId="0" fontId="44" fillId="0" borderId="4" xfId="0" applyFont="1" applyBorder="1" applyProtection="1">
      <protection locked="0"/>
    </xf>
    <xf numFmtId="0" fontId="49" fillId="0" borderId="0" xfId="0" applyFont="1" applyAlignment="1">
      <alignment horizontal="center"/>
    </xf>
    <xf numFmtId="0" fontId="44" fillId="0" borderId="6" xfId="0" applyFont="1" applyBorder="1" applyAlignment="1">
      <alignment horizontal="center"/>
    </xf>
    <xf numFmtId="3" fontId="31" fillId="4" borderId="16" xfId="9" applyNumberFormat="1" applyAlignment="1" applyProtection="1">
      <alignment horizontal="center"/>
      <protection locked="0" hidden="1"/>
    </xf>
    <xf numFmtId="170" fontId="44" fillId="0" borderId="0" xfId="0" applyNumberFormat="1" applyFont="1" applyAlignment="1">
      <alignment horizontal="center"/>
    </xf>
    <xf numFmtId="10" fontId="44" fillId="0" borderId="0" xfId="0" applyNumberFormat="1" applyFont="1" applyAlignment="1" applyProtection="1">
      <alignment horizontal="center"/>
      <protection locked="0"/>
    </xf>
    <xf numFmtId="0" fontId="50" fillId="0" borderId="4" xfId="0" applyFont="1" applyBorder="1"/>
    <xf numFmtId="170" fontId="50" fillId="0" borderId="0" xfId="0" applyNumberFormat="1" applyFont="1" applyAlignment="1">
      <alignment horizontal="center"/>
    </xf>
    <xf numFmtId="10" fontId="50" fillId="0" borderId="0" xfId="0" applyNumberFormat="1" applyFont="1" applyAlignment="1" applyProtection="1">
      <alignment horizontal="center"/>
      <protection locked="0"/>
    </xf>
    <xf numFmtId="0" fontId="51" fillId="0" borderId="6" xfId="0" applyFont="1" applyBorder="1" applyAlignment="1">
      <alignment horizontal="center"/>
    </xf>
    <xf numFmtId="0" fontId="48" fillId="0" borderId="10" xfId="0" applyFont="1" applyBorder="1" applyAlignment="1">
      <alignment horizontal="center"/>
    </xf>
    <xf numFmtId="0" fontId="48" fillId="0" borderId="10" xfId="0" applyFont="1" applyBorder="1" applyProtection="1">
      <protection locked="0"/>
    </xf>
    <xf numFmtId="3" fontId="31" fillId="4" borderId="16" xfId="9" applyNumberFormat="1" applyAlignment="1" applyProtection="1">
      <alignment horizontal="center"/>
      <protection locked="0"/>
    </xf>
    <xf numFmtId="0" fontId="36" fillId="0" borderId="0" xfId="0" applyFont="1" applyProtection="1">
      <protection locked="0"/>
    </xf>
    <xf numFmtId="0" fontId="44" fillId="0" borderId="0" xfId="0" applyFont="1" applyProtection="1">
      <protection locked="0"/>
    </xf>
    <xf numFmtId="0" fontId="44" fillId="0" borderId="5" xfId="0" applyFont="1" applyBorder="1" applyProtection="1">
      <protection locked="0"/>
    </xf>
    <xf numFmtId="0" fontId="41" fillId="0" borderId="6" xfId="0" applyFont="1" applyBorder="1" applyAlignment="1">
      <alignment horizontal="center"/>
    </xf>
    <xf numFmtId="0" fontId="38" fillId="0" borderId="9" xfId="0" applyFont="1" applyBorder="1"/>
    <xf numFmtId="0" fontId="36" fillId="0" borderId="10" xfId="0" applyFont="1" applyBorder="1" applyAlignment="1">
      <alignment horizontal="center"/>
    </xf>
    <xf numFmtId="0" fontId="36" fillId="0" borderId="10" xfId="0" applyFont="1" applyBorder="1"/>
    <xf numFmtId="0" fontId="41" fillId="0" borderId="8" xfId="0" applyFont="1" applyBorder="1" applyAlignment="1">
      <alignment horizontal="center"/>
    </xf>
    <xf numFmtId="1" fontId="31" fillId="4" borderId="16" xfId="9" applyNumberFormat="1" applyAlignment="1" applyProtection="1">
      <alignment horizontal="center"/>
      <protection locked="0"/>
    </xf>
    <xf numFmtId="0" fontId="52" fillId="0" borderId="0" xfId="0" applyFont="1"/>
    <xf numFmtId="0" fontId="53" fillId="0" borderId="0" xfId="0" applyFont="1" applyAlignment="1">
      <alignment horizontal="right"/>
    </xf>
    <xf numFmtId="165" fontId="38" fillId="0" borderId="0" xfId="0" applyNumberFormat="1" applyFont="1" applyProtection="1">
      <protection locked="0"/>
    </xf>
    <xf numFmtId="171" fontId="38" fillId="0" borderId="0" xfId="0" applyNumberFormat="1" applyFont="1" applyProtection="1">
      <protection locked="0"/>
    </xf>
    <xf numFmtId="9" fontId="53" fillId="0" borderId="0" xfId="0" applyNumberFormat="1" applyFont="1" applyAlignment="1">
      <alignment horizontal="right"/>
    </xf>
    <xf numFmtId="169" fontId="38" fillId="0" borderId="0" xfId="0" applyNumberFormat="1" applyFont="1" applyProtection="1">
      <protection locked="0"/>
    </xf>
    <xf numFmtId="164" fontId="36" fillId="0" borderId="0" xfId="0" applyNumberFormat="1" applyFont="1"/>
    <xf numFmtId="172" fontId="44" fillId="0" borderId="0" xfId="3" applyNumberFormat="1" applyFont="1" applyAlignment="1">
      <alignment horizontal="right"/>
    </xf>
    <xf numFmtId="3" fontId="36" fillId="0" borderId="0" xfId="0" applyNumberFormat="1" applyFont="1" applyProtection="1">
      <protection locked="0"/>
    </xf>
    <xf numFmtId="0" fontId="54" fillId="0" borderId="0" xfId="0" applyFont="1" applyProtection="1">
      <protection locked="0"/>
    </xf>
    <xf numFmtId="0" fontId="54" fillId="0" borderId="0" xfId="0" applyFont="1"/>
    <xf numFmtId="3" fontId="55" fillId="0" borderId="0" xfId="0" applyNumberFormat="1" applyFont="1" applyAlignment="1">
      <alignment horizontal="center"/>
    </xf>
    <xf numFmtId="3" fontId="55" fillId="0" borderId="0" xfId="0" applyNumberFormat="1" applyFont="1"/>
    <xf numFmtId="3" fontId="55" fillId="0" borderId="0" xfId="0" applyNumberFormat="1" applyFont="1" applyProtection="1">
      <protection locked="0"/>
    </xf>
    <xf numFmtId="0" fontId="55" fillId="0" borderId="0" xfId="0" applyFont="1" applyAlignment="1">
      <alignment horizontal="center" wrapText="1"/>
    </xf>
    <xf numFmtId="0" fontId="54" fillId="0" borderId="0" xfId="0" applyFont="1" applyAlignment="1">
      <alignment wrapText="1"/>
    </xf>
    <xf numFmtId="3" fontId="54" fillId="0" borderId="0" xfId="0" applyNumberFormat="1" applyFont="1"/>
    <xf numFmtId="0" fontId="55" fillId="0" borderId="0" xfId="0" applyFont="1" applyProtection="1">
      <protection locked="0"/>
    </xf>
    <xf numFmtId="3" fontId="36" fillId="0" borderId="0" xfId="0" applyNumberFormat="1" applyFont="1"/>
    <xf numFmtId="0" fontId="55" fillId="0" borderId="0" xfId="0" applyFont="1" applyAlignment="1">
      <alignment horizontal="center"/>
    </xf>
    <xf numFmtId="0" fontId="55" fillId="0" borderId="0" xfId="0" applyFont="1"/>
    <xf numFmtId="9" fontId="54" fillId="0" borderId="0" xfId="10" applyFont="1"/>
    <xf numFmtId="166" fontId="54" fillId="0" borderId="0" xfId="3" applyFont="1"/>
    <xf numFmtId="169" fontId="54" fillId="0" borderId="0" xfId="0" applyNumberFormat="1" applyFont="1" applyProtection="1">
      <protection locked="0"/>
    </xf>
    <xf numFmtId="9" fontId="55" fillId="0" borderId="0" xfId="0" applyNumberFormat="1" applyFont="1"/>
    <xf numFmtId="9" fontId="55" fillId="0" borderId="0" xfId="10" applyFont="1" applyProtection="1">
      <protection locked="0"/>
    </xf>
    <xf numFmtId="166" fontId="54" fillId="0" borderId="0" xfId="3" applyFont="1" applyProtection="1">
      <protection locked="0"/>
    </xf>
    <xf numFmtId="0" fontId="41" fillId="0" borderId="0" xfId="0" applyFont="1" applyAlignment="1">
      <alignment horizontal="center"/>
    </xf>
    <xf numFmtId="3" fontId="41" fillId="0" borderId="0" xfId="0" applyNumberFormat="1" applyFont="1" applyAlignment="1">
      <alignment horizontal="center"/>
    </xf>
    <xf numFmtId="0" fontId="56" fillId="0" borderId="0" xfId="0" applyFont="1"/>
    <xf numFmtId="0" fontId="7" fillId="0" borderId="0" xfId="4" applyAlignment="1" applyProtection="1"/>
    <xf numFmtId="2" fontId="36" fillId="0" borderId="0" xfId="10" applyNumberFormat="1" applyFont="1"/>
    <xf numFmtId="0" fontId="57" fillId="0" borderId="0" xfId="0" applyFont="1" applyAlignment="1">
      <alignment horizontal="center"/>
    </xf>
    <xf numFmtId="0" fontId="39" fillId="0" borderId="4" xfId="0" applyFont="1" applyBorder="1" applyAlignment="1">
      <alignment horizontal="left"/>
    </xf>
    <xf numFmtId="0" fontId="0" fillId="8" borderId="0" xfId="0" applyFill="1"/>
    <xf numFmtId="0" fontId="58" fillId="8" borderId="0" xfId="0" applyFont="1" applyFill="1"/>
    <xf numFmtId="0" fontId="59" fillId="8" borderId="0" xfId="0" applyFont="1" applyFill="1"/>
    <xf numFmtId="0" fontId="1" fillId="8" borderId="0" xfId="0" applyFont="1" applyFill="1"/>
    <xf numFmtId="0" fontId="5" fillId="8" borderId="0" xfId="0" applyFont="1" applyFill="1" applyAlignment="1">
      <alignment horizontal="center" vertical="center" wrapText="1"/>
    </xf>
    <xf numFmtId="0" fontId="6" fillId="8" borderId="9" xfId="0" applyFont="1" applyFill="1" applyBorder="1"/>
    <xf numFmtId="3" fontId="3" fillId="8" borderId="10" xfId="0" applyNumberFormat="1" applyFont="1" applyFill="1" applyBorder="1" applyAlignment="1" applyProtection="1">
      <alignment horizontal="center"/>
      <protection locked="0"/>
    </xf>
    <xf numFmtId="1" fontId="4" fillId="8" borderId="14" xfId="0" applyNumberFormat="1" applyFont="1" applyFill="1" applyBorder="1" applyAlignment="1" applyProtection="1">
      <alignment horizontal="center"/>
      <protection locked="0"/>
    </xf>
    <xf numFmtId="0" fontId="6" fillId="8" borderId="4" xfId="0" applyFont="1" applyFill="1" applyBorder="1"/>
    <xf numFmtId="3" fontId="4" fillId="8" borderId="5" xfId="0" applyNumberFormat="1" applyFont="1" applyFill="1" applyBorder="1" applyAlignment="1" applyProtection="1">
      <alignment horizontal="center"/>
      <protection locked="0"/>
    </xf>
    <xf numFmtId="3" fontId="1" fillId="8" borderId="0" xfId="0" applyNumberFormat="1" applyFont="1" applyFill="1"/>
    <xf numFmtId="0" fontId="5" fillId="8" borderId="0" xfId="0" applyFont="1" applyFill="1"/>
    <xf numFmtId="0" fontId="4" fillId="8" borderId="9" xfId="0" applyFont="1" applyFill="1" applyBorder="1"/>
    <xf numFmtId="0" fontId="4" fillId="8" borderId="4" xfId="0" applyFont="1" applyFill="1" applyBorder="1"/>
    <xf numFmtId="0" fontId="5" fillId="8" borderId="0" xfId="0" applyFont="1" applyFill="1" applyAlignment="1">
      <alignment wrapText="1"/>
    </xf>
    <xf numFmtId="3" fontId="44" fillId="8" borderId="13" xfId="1" applyNumberFormat="1" applyFont="1" applyFill="1" applyBorder="1" applyAlignment="1">
      <alignment horizontal="center"/>
    </xf>
    <xf numFmtId="0" fontId="44" fillId="8" borderId="13" xfId="0" applyFont="1" applyFill="1" applyBorder="1"/>
    <xf numFmtId="0" fontId="41" fillId="8" borderId="0" xfId="0" applyFont="1" applyFill="1"/>
    <xf numFmtId="3" fontId="4" fillId="8" borderId="13" xfId="0" applyNumberFormat="1" applyFont="1" applyFill="1" applyBorder="1" applyAlignment="1">
      <alignment horizontal="center"/>
    </xf>
    <xf numFmtId="1" fontId="1" fillId="8" borderId="0" xfId="0" applyNumberFormat="1" applyFont="1" applyFill="1"/>
    <xf numFmtId="0" fontId="2" fillId="8" borderId="4" xfId="0" applyFont="1" applyFill="1" applyBorder="1"/>
    <xf numFmtId="9" fontId="3" fillId="8" borderId="10" xfId="10" applyFont="1" applyFill="1" applyBorder="1" applyAlignment="1" applyProtection="1">
      <alignment horizontal="center"/>
      <protection locked="0"/>
    </xf>
    <xf numFmtId="0" fontId="2" fillId="8" borderId="0" xfId="0" applyFont="1" applyFill="1"/>
    <xf numFmtId="9" fontId="3" fillId="8" borderId="0" xfId="10" applyFont="1" applyFill="1" applyAlignment="1" applyProtection="1">
      <alignment horizontal="center"/>
      <protection locked="0"/>
    </xf>
    <xf numFmtId="0" fontId="18" fillId="8" borderId="13" xfId="0" applyFont="1" applyFill="1" applyBorder="1"/>
    <xf numFmtId="175" fontId="1" fillId="8" borderId="13" xfId="0" applyNumberFormat="1" applyFont="1" applyFill="1" applyBorder="1" applyAlignment="1">
      <alignment horizontal="center"/>
    </xf>
    <xf numFmtId="0" fontId="1" fillId="8" borderId="13" xfId="0" applyFont="1" applyFill="1" applyBorder="1"/>
    <xf numFmtId="175" fontId="1" fillId="8" borderId="0" xfId="0" applyNumberFormat="1" applyFont="1" applyFill="1"/>
    <xf numFmtId="0" fontId="1" fillId="8" borderId="0" xfId="0" applyFont="1" applyFill="1" applyAlignment="1">
      <alignment horizontal="center"/>
    </xf>
    <xf numFmtId="0" fontId="4" fillId="8" borderId="13" xfId="0" applyFont="1" applyFill="1" applyBorder="1"/>
    <xf numFmtId="175" fontId="44" fillId="8" borderId="13" xfId="11" applyNumberFormat="1" applyFont="1" applyFill="1" applyBorder="1" applyAlignment="1">
      <alignment horizontal="center"/>
    </xf>
    <xf numFmtId="168" fontId="1" fillId="8" borderId="0" xfId="0" applyNumberFormat="1" applyFont="1" applyFill="1"/>
    <xf numFmtId="0" fontId="60" fillId="8" borderId="6" xfId="0" applyFont="1" applyFill="1" applyBorder="1" applyAlignment="1">
      <alignment horizontal="center"/>
    </xf>
    <xf numFmtId="0" fontId="60" fillId="8" borderId="8" xfId="0" applyFont="1" applyFill="1" applyBorder="1" applyAlignment="1">
      <alignment horizontal="center"/>
    </xf>
    <xf numFmtId="0" fontId="61" fillId="8" borderId="0" xfId="0" applyFont="1" applyFill="1" applyAlignment="1">
      <alignment horizontal="center"/>
    </xf>
    <xf numFmtId="0" fontId="46" fillId="9" borderId="1" xfId="0" applyFont="1" applyFill="1" applyBorder="1"/>
    <xf numFmtId="0" fontId="46" fillId="9" borderId="2" xfId="0" applyFont="1" applyFill="1" applyBorder="1"/>
    <xf numFmtId="0" fontId="46" fillId="9" borderId="3" xfId="0" applyFont="1" applyFill="1" applyBorder="1"/>
    <xf numFmtId="0" fontId="46" fillId="9" borderId="4" xfId="0" applyFont="1" applyFill="1" applyBorder="1"/>
    <xf numFmtId="0" fontId="46" fillId="9" borderId="0" xfId="0" applyFont="1" applyFill="1"/>
    <xf numFmtId="0" fontId="46" fillId="9" borderId="5" xfId="0" applyFont="1" applyFill="1" applyBorder="1"/>
    <xf numFmtId="0" fontId="46" fillId="9" borderId="9" xfId="0" applyFont="1" applyFill="1" applyBorder="1"/>
    <xf numFmtId="0" fontId="46" fillId="9" borderId="10" xfId="0" applyFont="1" applyFill="1" applyBorder="1"/>
    <xf numFmtId="0" fontId="46" fillId="9" borderId="14" xfId="0" applyFont="1" applyFill="1" applyBorder="1"/>
    <xf numFmtId="174" fontId="39" fillId="3" borderId="16" xfId="1" applyNumberFormat="1" applyFont="1" applyAlignment="1" applyProtection="1">
      <alignment horizontal="center" vertical="center"/>
      <protection locked="0"/>
    </xf>
    <xf numFmtId="0" fontId="39" fillId="3" borderId="16" xfId="1" applyFont="1" applyAlignment="1">
      <alignment horizontal="center"/>
    </xf>
    <xf numFmtId="9" fontId="44" fillId="0" borderId="4" xfId="0" applyNumberFormat="1" applyFont="1" applyBorder="1"/>
    <xf numFmtId="9" fontId="27" fillId="7" borderId="0" xfId="10" applyFont="1" applyFill="1" applyAlignment="1" applyProtection="1">
      <alignment horizontal="center" vertical="center"/>
      <protection locked="0"/>
    </xf>
    <xf numFmtId="174" fontId="39" fillId="4" borderId="16" xfId="9" applyNumberFormat="1" applyFont="1" applyAlignment="1" applyProtection="1">
      <alignment horizontal="center" vertical="center"/>
      <protection locked="0"/>
    </xf>
    <xf numFmtId="174" fontId="34" fillId="7" borderId="0" xfId="1" applyNumberFormat="1" applyFont="1" applyFill="1" applyBorder="1" applyAlignment="1" applyProtection="1">
      <alignment horizontal="center" vertical="center"/>
      <protection locked="0"/>
    </xf>
    <xf numFmtId="174" fontId="39" fillId="3" borderId="13" xfId="1" applyNumberFormat="1" applyFont="1" applyBorder="1" applyAlignment="1" applyProtection="1">
      <alignment horizontal="center" vertical="center"/>
      <protection locked="0"/>
    </xf>
    <xf numFmtId="0" fontId="56" fillId="0" borderId="4" xfId="0" applyFont="1" applyBorder="1"/>
    <xf numFmtId="0" fontId="7" fillId="0" borderId="4" xfId="4" applyBorder="1" applyAlignment="1" applyProtection="1"/>
    <xf numFmtId="0" fontId="48" fillId="0" borderId="4" xfId="0" applyFont="1" applyBorder="1"/>
    <xf numFmtId="0" fontId="39" fillId="0" borderId="11" xfId="0" applyFont="1" applyBorder="1"/>
    <xf numFmtId="0" fontId="45" fillId="0" borderId="15" xfId="0" applyFont="1" applyBorder="1"/>
    <xf numFmtId="174" fontId="39" fillId="4" borderId="13" xfId="9" applyNumberFormat="1" applyFont="1" applyBorder="1" applyAlignment="1" applyProtection="1">
      <alignment horizontal="center" vertical="center"/>
      <protection locked="0"/>
    </xf>
    <xf numFmtId="0" fontId="4" fillId="8" borderId="0" xfId="0" applyFont="1" applyFill="1" applyAlignment="1">
      <alignment horizontal="right"/>
    </xf>
    <xf numFmtId="0" fontId="28" fillId="0" borderId="18" xfId="5"/>
    <xf numFmtId="0" fontId="62" fillId="0" borderId="0" xfId="0" applyFont="1"/>
    <xf numFmtId="0" fontId="63" fillId="0" borderId="0" xfId="0" applyFont="1"/>
    <xf numFmtId="0" fontId="36" fillId="7" borderId="0" xfId="0" applyFont="1" applyFill="1"/>
    <xf numFmtId="0" fontId="63" fillId="7" borderId="0" xfId="0" applyFont="1" applyFill="1"/>
    <xf numFmtId="0" fontId="28" fillId="8" borderId="18" xfId="5" applyFill="1"/>
    <xf numFmtId="9" fontId="26" fillId="4" borderId="17" xfId="2" applyNumberFormat="1" applyAlignment="1" applyProtection="1">
      <alignment horizontal="center" vertical="center"/>
      <protection locked="0"/>
    </xf>
    <xf numFmtId="169" fontId="26" fillId="4" borderId="17" xfId="2" applyNumberFormat="1" applyAlignment="1" applyProtection="1">
      <alignment horizontal="center" vertical="center"/>
      <protection locked="0"/>
    </xf>
    <xf numFmtId="176" fontId="26" fillId="4" borderId="17" xfId="2" applyNumberFormat="1" applyAlignment="1" applyProtection="1">
      <alignment horizontal="center" vertical="center"/>
      <protection locked="0"/>
    </xf>
    <xf numFmtId="9" fontId="48" fillId="4" borderId="17" xfId="2" applyNumberFormat="1" applyFont="1" applyAlignment="1" applyProtection="1">
      <alignment horizontal="center" vertical="center"/>
      <protection locked="0"/>
    </xf>
    <xf numFmtId="2" fontId="48" fillId="4" borderId="17" xfId="2" applyNumberFormat="1" applyFont="1" applyAlignment="1" applyProtection="1">
      <alignment horizontal="center" vertical="center"/>
      <protection locked="0"/>
    </xf>
    <xf numFmtId="174" fontId="48" fillId="3" borderId="13" xfId="1" applyNumberFormat="1" applyFont="1" applyBorder="1" applyAlignment="1" applyProtection="1">
      <alignment horizontal="center" vertical="center"/>
      <protection locked="0"/>
    </xf>
    <xf numFmtId="174" fontId="48" fillId="4" borderId="13" xfId="9" applyNumberFormat="1" applyFont="1" applyBorder="1" applyAlignment="1" applyProtection="1">
      <alignment horizontal="center" vertical="center"/>
      <protection locked="0"/>
    </xf>
    <xf numFmtId="9" fontId="48" fillId="3" borderId="13" xfId="10" applyFont="1" applyFill="1" applyBorder="1" applyAlignment="1" applyProtection="1">
      <alignment horizontal="center" vertical="center"/>
      <protection locked="0"/>
    </xf>
    <xf numFmtId="169" fontId="48" fillId="3" borderId="13" xfId="10" applyNumberFormat="1" applyFont="1" applyFill="1" applyBorder="1" applyAlignment="1" applyProtection="1">
      <alignment horizontal="center" vertical="center"/>
      <protection locked="0"/>
    </xf>
    <xf numFmtId="0" fontId="45" fillId="0" borderId="5" xfId="0" applyFont="1" applyBorder="1"/>
    <xf numFmtId="3" fontId="48" fillId="3" borderId="13" xfId="1" applyNumberFormat="1" applyFont="1" applyBorder="1" applyAlignment="1">
      <alignment horizontal="center"/>
    </xf>
    <xf numFmtId="3" fontId="48" fillId="3" borderId="15" xfId="1" applyNumberFormat="1" applyFont="1" applyBorder="1" applyAlignment="1">
      <alignment horizontal="center"/>
    </xf>
    <xf numFmtId="0" fontId="45" fillId="0" borderId="7" xfId="0" applyFont="1" applyBorder="1"/>
    <xf numFmtId="1" fontId="48" fillId="3" borderId="13" xfId="1" applyNumberFormat="1" applyFont="1" applyBorder="1" applyAlignment="1">
      <alignment horizontal="center"/>
    </xf>
    <xf numFmtId="168" fontId="48" fillId="3" borderId="13" xfId="1" applyNumberFormat="1" applyFont="1" applyBorder="1" applyAlignment="1">
      <alignment horizontal="center"/>
    </xf>
    <xf numFmtId="0" fontId="48" fillId="3" borderId="13" xfId="1" applyFont="1" applyBorder="1" applyAlignment="1">
      <alignment horizontal="center"/>
    </xf>
    <xf numFmtId="2" fontId="48" fillId="4" borderId="13" xfId="2" applyNumberFormat="1" applyFont="1" applyBorder="1" applyAlignment="1">
      <alignment horizontal="left" indent="3"/>
    </xf>
    <xf numFmtId="0" fontId="64" fillId="0" borderId="6" xfId="0" applyFont="1" applyBorder="1"/>
    <xf numFmtId="0" fontId="64" fillId="0" borderId="4" xfId="0" applyFont="1" applyBorder="1"/>
    <xf numFmtId="3" fontId="65" fillId="7" borderId="13" xfId="1" applyNumberFormat="1" applyFont="1" applyFill="1" applyBorder="1" applyAlignment="1">
      <alignment horizontal="center"/>
    </xf>
    <xf numFmtId="3" fontId="48" fillId="0" borderId="13" xfId="0" applyNumberFormat="1" applyFont="1" applyBorder="1" applyAlignment="1">
      <alignment horizontal="center"/>
    </xf>
    <xf numFmtId="3" fontId="65" fillId="3" borderId="13" xfId="1" applyNumberFormat="1" applyFont="1" applyBorder="1" applyAlignment="1">
      <alignment horizontal="center"/>
    </xf>
    <xf numFmtId="173" fontId="45" fillId="0" borderId="6" xfId="3" applyNumberFormat="1" applyFont="1" applyBorder="1"/>
    <xf numFmtId="0" fontId="39" fillId="0" borderId="0" xfId="0" applyFont="1"/>
    <xf numFmtId="3" fontId="48" fillId="4" borderId="15" xfId="9" applyNumberFormat="1" applyFont="1" applyBorder="1" applyAlignment="1">
      <alignment horizontal="center"/>
    </xf>
    <xf numFmtId="3" fontId="48" fillId="4" borderId="13" xfId="9" applyNumberFormat="1" applyFont="1" applyBorder="1" applyAlignment="1">
      <alignment horizontal="center"/>
    </xf>
    <xf numFmtId="170" fontId="48" fillId="3" borderId="13" xfId="1" applyNumberFormat="1" applyFont="1" applyBorder="1" applyAlignment="1">
      <alignment horizontal="center"/>
    </xf>
    <xf numFmtId="3" fontId="26" fillId="4" borderId="17" xfId="2" applyNumberFormat="1" applyAlignment="1">
      <alignment horizontal="center"/>
    </xf>
    <xf numFmtId="174" fontId="26" fillId="4" borderId="17" xfId="2" applyNumberFormat="1" applyAlignment="1" applyProtection="1">
      <alignment horizontal="center" vertical="center"/>
      <protection locked="0"/>
    </xf>
    <xf numFmtId="0" fontId="29" fillId="8" borderId="19" xfId="6" applyFill="1"/>
    <xf numFmtId="0" fontId="29" fillId="10" borderId="19" xfId="6" applyFill="1"/>
    <xf numFmtId="0" fontId="66" fillId="0" borderId="4" xfId="0" applyFont="1" applyBorder="1"/>
    <xf numFmtId="0" fontId="36" fillId="9" borderId="1" xfId="0" applyFont="1" applyFill="1" applyBorder="1"/>
    <xf numFmtId="0" fontId="36" fillId="9" borderId="2" xfId="0" applyFont="1" applyFill="1" applyBorder="1"/>
    <xf numFmtId="0" fontId="36" fillId="9" borderId="7" xfId="0" applyFont="1" applyFill="1" applyBorder="1"/>
    <xf numFmtId="0" fontId="36" fillId="9" borderId="0" xfId="0" applyFont="1" applyFill="1"/>
    <xf numFmtId="0" fontId="36" fillId="9" borderId="6" xfId="0" applyFont="1" applyFill="1" applyBorder="1"/>
    <xf numFmtId="0" fontId="36" fillId="9" borderId="9" xfId="0" applyFont="1" applyFill="1" applyBorder="1"/>
    <xf numFmtId="0" fontId="36" fillId="9" borderId="10" xfId="0" applyFont="1" applyFill="1" applyBorder="1"/>
    <xf numFmtId="0" fontId="36" fillId="9" borderId="8" xfId="0" applyFont="1" applyFill="1" applyBorder="1"/>
    <xf numFmtId="0" fontId="38" fillId="9" borderId="4" xfId="0" applyFont="1" applyFill="1" applyBorder="1"/>
    <xf numFmtId="174" fontId="39" fillId="4" borderId="20" xfId="9" applyNumberFormat="1" applyFont="1" applyBorder="1" applyAlignment="1" applyProtection="1">
      <alignment horizontal="center" vertical="center"/>
      <protection locked="0"/>
    </xf>
    <xf numFmtId="174" fontId="35" fillId="7" borderId="21" xfId="1" applyNumberFormat="1" applyFont="1" applyFill="1" applyBorder="1" applyAlignment="1" applyProtection="1">
      <alignment horizontal="left" vertical="center"/>
      <protection locked="0"/>
    </xf>
    <xf numFmtId="0" fontId="36" fillId="0" borderId="13" xfId="0" applyFont="1" applyBorder="1" applyAlignment="1">
      <alignment horizontal="right"/>
    </xf>
    <xf numFmtId="0" fontId="67" fillId="10" borderId="0" xfId="0" applyFont="1" applyFill="1"/>
    <xf numFmtId="3" fontId="67" fillId="10" borderId="0" xfId="0" applyNumberFormat="1" applyFont="1" applyFill="1"/>
    <xf numFmtId="174" fontId="35" fillId="7" borderId="22" xfId="1" applyNumberFormat="1" applyFont="1" applyFill="1" applyBorder="1" applyAlignment="1" applyProtection="1">
      <alignment horizontal="left" vertical="center"/>
      <protection locked="0"/>
    </xf>
    <xf numFmtId="174" fontId="39" fillId="3" borderId="21" xfId="1" applyNumberFormat="1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>
      <alignment horizontal="center"/>
    </xf>
    <xf numFmtId="9" fontId="41" fillId="0" borderId="0" xfId="10" applyFont="1" applyAlignment="1">
      <alignment horizontal="center"/>
    </xf>
    <xf numFmtId="168" fontId="48" fillId="3" borderId="13" xfId="3" applyNumberFormat="1" applyFont="1" applyFill="1" applyBorder="1" applyAlignment="1" applyProtection="1">
      <alignment horizontal="center" vertical="center"/>
      <protection locked="0"/>
    </xf>
    <xf numFmtId="0" fontId="41" fillId="0" borderId="4" xfId="0" applyFont="1" applyBorder="1"/>
    <xf numFmtId="9" fontId="27" fillId="11" borderId="13" xfId="10" applyFont="1" applyFill="1" applyBorder="1" applyAlignment="1">
      <alignment horizontal="center"/>
    </xf>
    <xf numFmtId="9" fontId="27" fillId="12" borderId="13" xfId="10" applyFont="1" applyFill="1" applyBorder="1" applyAlignment="1">
      <alignment horizontal="center"/>
    </xf>
    <xf numFmtId="0" fontId="41" fillId="7" borderId="0" xfId="0" applyFont="1" applyFill="1"/>
    <xf numFmtId="0" fontId="36" fillId="0" borderId="13" xfId="0" applyFont="1" applyBorder="1"/>
    <xf numFmtId="0" fontId="67" fillId="8" borderId="0" xfId="0" applyFont="1" applyFill="1"/>
    <xf numFmtId="0" fontId="36" fillId="10" borderId="0" xfId="0" applyFont="1" applyFill="1"/>
    <xf numFmtId="0" fontId="1" fillId="10" borderId="0" xfId="0" applyFont="1" applyFill="1"/>
    <xf numFmtId="0" fontId="22" fillId="10" borderId="0" xfId="4" applyFont="1" applyFill="1" applyAlignment="1" applyProtection="1"/>
    <xf numFmtId="0" fontId="1" fillId="8" borderId="0" xfId="8" applyFill="1"/>
    <xf numFmtId="0" fontId="56" fillId="10" borderId="0" xfId="8" applyFont="1" applyFill="1"/>
    <xf numFmtId="0" fontId="1" fillId="10" borderId="0" xfId="8" applyFill="1"/>
    <xf numFmtId="0" fontId="36" fillId="10" borderId="0" xfId="8" applyFont="1" applyFill="1"/>
    <xf numFmtId="0" fontId="7" fillId="10" borderId="0" xfId="4" applyFill="1" applyAlignment="1" applyProtection="1"/>
    <xf numFmtId="0" fontId="58" fillId="8" borderId="0" xfId="8" applyFont="1" applyFill="1"/>
    <xf numFmtId="1" fontId="58" fillId="8" borderId="0" xfId="8" applyNumberFormat="1" applyFont="1" applyFill="1"/>
    <xf numFmtId="0" fontId="68" fillId="8" borderId="0" xfId="8" applyFont="1" applyFill="1"/>
    <xf numFmtId="9" fontId="58" fillId="8" borderId="0" xfId="8" applyNumberFormat="1" applyFont="1" applyFill="1"/>
    <xf numFmtId="0" fontId="39" fillId="0" borderId="0" xfId="0" applyFont="1" applyAlignment="1">
      <alignment horizontal="center"/>
    </xf>
    <xf numFmtId="9" fontId="39" fillId="13" borderId="13" xfId="10" applyFont="1" applyFill="1" applyBorder="1" applyAlignment="1">
      <alignment horizontal="center"/>
    </xf>
    <xf numFmtId="0" fontId="77" fillId="0" borderId="0" xfId="0" applyFont="1"/>
    <xf numFmtId="0" fontId="77" fillId="7" borderId="0" xfId="0" applyFont="1" applyFill="1"/>
    <xf numFmtId="0" fontId="78" fillId="0" borderId="0" xfId="0" applyFont="1"/>
    <xf numFmtId="0" fontId="62" fillId="7" borderId="0" xfId="0" applyFont="1" applyFill="1"/>
    <xf numFmtId="9" fontId="63" fillId="7" borderId="0" xfId="0" applyNumberFormat="1" applyFont="1" applyFill="1"/>
    <xf numFmtId="2" fontId="63" fillId="7" borderId="0" xfId="0" applyNumberFormat="1" applyFont="1" applyFill="1"/>
    <xf numFmtId="9" fontId="63" fillId="0" borderId="0" xfId="0" applyNumberFormat="1" applyFont="1"/>
    <xf numFmtId="168" fontId="63" fillId="7" borderId="0" xfId="0" applyNumberFormat="1" applyFont="1" applyFill="1"/>
    <xf numFmtId="168" fontId="58" fillId="0" borderId="0" xfId="0" applyNumberFormat="1" applyFont="1" applyAlignment="1">
      <alignment horizontal="center"/>
    </xf>
    <xf numFmtId="9" fontId="62" fillId="0" borderId="0" xfId="0" applyNumberFormat="1" applyFont="1"/>
    <xf numFmtId="9" fontId="36" fillId="0" borderId="0" xfId="0" applyNumberFormat="1" applyFont="1" applyAlignment="1">
      <alignment horizontal="center"/>
    </xf>
    <xf numFmtId="0" fontId="44" fillId="8" borderId="0" xfId="0" applyFont="1" applyFill="1" applyBorder="1"/>
    <xf numFmtId="0" fontId="60" fillId="8" borderId="0" xfId="0" applyFont="1" applyFill="1" applyBorder="1" applyAlignment="1">
      <alignment horizontal="center"/>
    </xf>
    <xf numFmtId="0" fontId="24" fillId="14" borderId="4" xfId="7" applyFont="1" applyFill="1" applyBorder="1" applyAlignment="1">
      <alignment horizontal="left" wrapText="1"/>
    </xf>
    <xf numFmtId="0" fontId="24" fillId="14" borderId="0" xfId="7" applyFont="1" applyFill="1" applyAlignment="1">
      <alignment horizontal="left" wrapText="1"/>
    </xf>
    <xf numFmtId="0" fontId="24" fillId="14" borderId="5" xfId="7" applyFont="1" applyFill="1" applyBorder="1" applyAlignment="1">
      <alignment horizontal="left" wrapText="1"/>
    </xf>
    <xf numFmtId="0" fontId="24" fillId="14" borderId="9" xfId="7" applyFont="1" applyFill="1" applyBorder="1" applyAlignment="1">
      <alignment horizontal="left" wrapText="1"/>
    </xf>
    <xf numFmtId="0" fontId="24" fillId="14" borderId="10" xfId="7" applyFont="1" applyFill="1" applyBorder="1" applyAlignment="1">
      <alignment horizontal="left" wrapText="1"/>
    </xf>
    <xf numFmtId="0" fontId="24" fillId="14" borderId="14" xfId="7" applyFont="1" applyFill="1" applyBorder="1" applyAlignment="1">
      <alignment horizontal="left" wrapText="1"/>
    </xf>
    <xf numFmtId="0" fontId="4" fillId="9" borderId="13" xfId="0" applyFont="1" applyFill="1" applyBorder="1" applyAlignment="1">
      <alignment horizontal="center" vertical="center" wrapText="1"/>
    </xf>
    <xf numFmtId="0" fontId="38" fillId="9" borderId="1" xfId="0" applyFont="1" applyFill="1" applyBorder="1" applyAlignment="1">
      <alignment horizontal="left" vertical="center"/>
    </xf>
    <xf numFmtId="0" fontId="38" fillId="9" borderId="2" xfId="0" applyFont="1" applyFill="1" applyBorder="1" applyAlignment="1">
      <alignment horizontal="left" vertical="center"/>
    </xf>
    <xf numFmtId="0" fontId="38" fillId="9" borderId="3" xfId="0" applyFont="1" applyFill="1" applyBorder="1" applyAlignment="1">
      <alignment horizontal="left" vertical="center"/>
    </xf>
    <xf numFmtId="0" fontId="38" fillId="9" borderId="4" xfId="0" applyFont="1" applyFill="1" applyBorder="1" applyAlignment="1">
      <alignment horizontal="left" vertical="center"/>
    </xf>
    <xf numFmtId="0" fontId="38" fillId="9" borderId="0" xfId="0" applyFont="1" applyFill="1" applyAlignment="1">
      <alignment horizontal="left" vertical="center"/>
    </xf>
    <xf numFmtId="0" fontId="38" fillId="9" borderId="5" xfId="0" applyFont="1" applyFill="1" applyBorder="1" applyAlignment="1">
      <alignment horizontal="left" vertical="center"/>
    </xf>
    <xf numFmtId="0" fontId="38" fillId="9" borderId="9" xfId="0" applyFont="1" applyFill="1" applyBorder="1" applyAlignment="1">
      <alignment horizontal="left" vertical="center"/>
    </xf>
    <xf numFmtId="0" fontId="38" fillId="9" borderId="10" xfId="0" applyFont="1" applyFill="1" applyBorder="1" applyAlignment="1">
      <alignment horizontal="left" vertical="center"/>
    </xf>
    <xf numFmtId="0" fontId="38" fillId="9" borderId="14" xfId="0" applyFont="1" applyFill="1" applyBorder="1" applyAlignment="1">
      <alignment horizontal="left" vertical="center"/>
    </xf>
    <xf numFmtId="0" fontId="39" fillId="9" borderId="7" xfId="0" applyFont="1" applyFill="1" applyBorder="1" applyAlignment="1">
      <alignment horizontal="center" vertical="center" wrapText="1"/>
    </xf>
    <xf numFmtId="0" fontId="39" fillId="9" borderId="6" xfId="0" applyFont="1" applyFill="1" applyBorder="1" applyAlignment="1">
      <alignment horizontal="center" vertical="center" wrapText="1"/>
    </xf>
    <xf numFmtId="0" fontId="39" fillId="9" borderId="8" xfId="0" applyFont="1" applyFill="1" applyBorder="1" applyAlignment="1">
      <alignment horizontal="center" vertical="center" wrapText="1"/>
    </xf>
    <xf numFmtId="0" fontId="48" fillId="0" borderId="11" xfId="0" applyFont="1" applyBorder="1" applyAlignment="1">
      <alignment horizontal="left"/>
    </xf>
    <xf numFmtId="0" fontId="48" fillId="0" borderId="12" xfId="0" applyFont="1" applyBorder="1" applyAlignment="1">
      <alignment horizontal="left"/>
    </xf>
    <xf numFmtId="0" fontId="48" fillId="0" borderId="15" xfId="0" applyFont="1" applyBorder="1" applyAlignment="1">
      <alignment horizontal="left"/>
    </xf>
    <xf numFmtId="0" fontId="39" fillId="0" borderId="11" xfId="0" applyFont="1" applyBorder="1" applyAlignment="1">
      <alignment horizontal="left"/>
    </xf>
    <xf numFmtId="0" fontId="39" fillId="0" borderId="12" xfId="0" applyFont="1" applyBorder="1" applyAlignment="1">
      <alignment horizontal="left"/>
    </xf>
    <xf numFmtId="0" fontId="39" fillId="0" borderId="15" xfId="0" applyFont="1" applyBorder="1" applyAlignment="1">
      <alignment horizontal="left"/>
    </xf>
    <xf numFmtId="0" fontId="42" fillId="9" borderId="7" xfId="0" applyFont="1" applyFill="1" applyBorder="1" applyAlignment="1">
      <alignment horizontal="center" wrapText="1"/>
    </xf>
    <xf numFmtId="0" fontId="42" fillId="9" borderId="6" xfId="0" applyFont="1" applyFill="1" applyBorder="1" applyAlignment="1">
      <alignment horizontal="center" wrapText="1"/>
    </xf>
    <xf numFmtId="0" fontId="42" fillId="9" borderId="8" xfId="0" applyFont="1" applyFill="1" applyBorder="1" applyAlignment="1">
      <alignment horizontal="center" wrapText="1"/>
    </xf>
    <xf numFmtId="0" fontId="49" fillId="0" borderId="5" xfId="0" applyFont="1" applyBorder="1" applyAlignment="1">
      <alignment horizontal="center" wrapText="1"/>
    </xf>
    <xf numFmtId="0" fontId="32" fillId="14" borderId="0" xfId="7" applyFont="1" applyFill="1" applyAlignment="1">
      <alignment horizontal="left" wrapText="1"/>
    </xf>
    <xf numFmtId="0" fontId="59" fillId="8" borderId="0" xfId="0" applyFont="1" applyFill="1" applyAlignment="1">
      <alignment horizontal="left" wrapText="1"/>
    </xf>
  </cellXfs>
  <cellStyles count="12">
    <cellStyle name="Dane wejściowe" xfId="1" builtinId="20"/>
    <cellStyle name="Dane wyjściowe" xfId="2" builtinId="21"/>
    <cellStyle name="Dziesiętny" xfId="3" builtinId="3"/>
    <cellStyle name="Hiperłącze" xfId="4" builtinId="8"/>
    <cellStyle name="Nagłówek 1" xfId="5" builtinId="16"/>
    <cellStyle name="Nagłówek 2" xfId="6" builtinId="17"/>
    <cellStyle name="Neutralny" xfId="7" builtinId="28"/>
    <cellStyle name="Normalny" xfId="0" builtinId="0"/>
    <cellStyle name="Normalny 2" xfId="8" xr:uid="{00000000-0005-0000-0000-000008000000}"/>
    <cellStyle name="Obliczenia" xfId="9" builtinId="22"/>
    <cellStyle name="Procentowy" xfId="10" builtinId="5"/>
    <cellStyle name="Zły" xfId="11" builtinId="27"/>
  </cellStyles>
  <dxfs count="3">
    <dxf>
      <font>
        <strike val="0"/>
      </font>
      <numFmt numFmtId="13" formatCode="0%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l-PL"/>
              <a:t>Porównanie całkowitych rocznych kosztów</a:t>
            </a:r>
          </a:p>
        </c:rich>
      </c:tx>
      <c:layout>
        <c:manualLayout>
          <c:xMode val="edge"/>
          <c:yMode val="edge"/>
          <c:x val="0.24074088014332815"/>
          <c:y val="5.918124381158941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9259828586077"/>
          <c:y val="0.15640191715166038"/>
          <c:w val="0.83888926816101905"/>
          <c:h val="0.6544890448476549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Zestawienie!$A$54</c:f>
              <c:strCache>
                <c:ptCount val="1"/>
                <c:pt idx="0">
                  <c:v>Koszty kapitałowe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675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Zestawienie!$B$54:$H$54</c:f>
              <c:numCache>
                <c:formatCode>#,##0</c:formatCode>
                <c:ptCount val="7"/>
                <c:pt idx="0">
                  <c:v>1317.9235240782787</c:v>
                </c:pt>
                <c:pt idx="1">
                  <c:v>2291.5336705293435</c:v>
                </c:pt>
                <c:pt idx="2">
                  <c:v>2012.3937822970147</c:v>
                </c:pt>
                <c:pt idx="3">
                  <c:v>729.17241179906932</c:v>
                </c:pt>
                <c:pt idx="4">
                  <c:v>1993.6116941486903</c:v>
                </c:pt>
                <c:pt idx="5">
                  <c:v>1269.1908166924852</c:v>
                </c:pt>
                <c:pt idx="6">
                  <c:v>1653.2712287041027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5FF-443C-A966-BB51044EA098}"/>
            </c:ext>
          </c:extLst>
        </c:ser>
        <c:ser>
          <c:idx val="1"/>
          <c:order val="1"/>
          <c:tx>
            <c:strRef>
              <c:f>Zestawienie!$A$55</c:f>
              <c:strCache>
                <c:ptCount val="1"/>
                <c:pt idx="0">
                  <c:v>Koszty zużycia energii</c:v>
                </c:pt>
              </c:strCache>
            </c:strRef>
          </c:tx>
          <c:spPr>
            <a:solidFill>
              <a:srgbClr val="FF808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5FF-443C-A966-BB51044EA098}"/>
              </c:ext>
            </c:extLst>
          </c:dPt>
          <c:dLbls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6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Zestawienie!$B$55:$H$55</c:f>
              <c:numCache>
                <c:formatCode>#,##0</c:formatCode>
                <c:ptCount val="7"/>
                <c:pt idx="0">
                  <c:v>2214.6943550955411</c:v>
                </c:pt>
                <c:pt idx="1">
                  <c:v>1795.2354650744437</c:v>
                </c:pt>
                <c:pt idx="2">
                  <c:v>1765.7878539941221</c:v>
                </c:pt>
                <c:pt idx="3">
                  <c:v>4716.2428577736109</c:v>
                </c:pt>
                <c:pt idx="4">
                  <c:v>0</c:v>
                </c:pt>
                <c:pt idx="5">
                  <c:v>1430.7396825396825</c:v>
                </c:pt>
                <c:pt idx="6">
                  <c:v>1179.6626984126983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5FF-443C-A966-BB51044EA098}"/>
            </c:ext>
          </c:extLst>
        </c:ser>
        <c:ser>
          <c:idx val="2"/>
          <c:order val="2"/>
          <c:tx>
            <c:strRef>
              <c:f>Zestawienie!$A$56</c:f>
              <c:strCache>
                <c:ptCount val="1"/>
                <c:pt idx="0">
                  <c:v>Koszty obsługi, serwisu i napraw</c:v>
                </c:pt>
              </c:strCache>
            </c:strRef>
          </c:tx>
          <c:spPr>
            <a:solidFill>
              <a:srgbClr val="80808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6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Zestawienie!$B$56:$H$56</c:f>
              <c:numCache>
                <c:formatCode>#,##0</c:formatCode>
                <c:ptCount val="7"/>
                <c:pt idx="0">
                  <c:v>300</c:v>
                </c:pt>
                <c:pt idx="1">
                  <c:v>675</c:v>
                </c:pt>
                <c:pt idx="2">
                  <c:v>480</c:v>
                </c:pt>
                <c:pt idx="3">
                  <c:v>82.5</c:v>
                </c:pt>
                <c:pt idx="4">
                  <c:v>879.63333333333333</c:v>
                </c:pt>
                <c:pt idx="5">
                  <c:v>420</c:v>
                </c:pt>
                <c:pt idx="6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5FF-443C-A966-BB51044EA0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66432712"/>
        <c:axId val="566437024"/>
      </c:barChart>
      <c:catAx>
        <c:axId val="56643271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37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4370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7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/>
                  <a:t>Całkowity koszt roczny w zł</a:t>
                </a:r>
              </a:p>
            </c:rich>
          </c:tx>
          <c:layout>
            <c:manualLayout>
              <c:xMode val="edge"/>
              <c:yMode val="edge"/>
              <c:x val="3.3333333333333333E-2"/>
              <c:y val="0.2578803023873512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32712"/>
        <c:crosses val="autoZero"/>
        <c:crossBetween val="between"/>
        <c:majorUnit val="1000"/>
      </c:valAx>
      <c:spPr>
        <a:solidFill>
          <a:srgbClr val="E3E3E3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5513090739374591"/>
          <c:y val="0.19543236361921826"/>
          <c:w val="0.25090307784184718"/>
          <c:h val="7.874330079997485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2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l-PL"/>
              <a:t>Łączne koszty roczne</a:t>
            </a:r>
          </a:p>
        </c:rich>
      </c:tx>
      <c:layout>
        <c:manualLayout>
          <c:xMode val="edge"/>
          <c:yMode val="edge"/>
          <c:x val="0.35459669552800155"/>
          <c:y val="4.034573803274590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86785128870387"/>
          <c:y val="0.16714732686558656"/>
          <c:w val="0.83848563469796156"/>
          <c:h val="0.6657074569991464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E5A6-45F5-B645-B8CF7F312692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5A6-45F5-B645-B8CF7F312692}"/>
              </c:ext>
            </c:extLst>
          </c:dPt>
          <c:dPt>
            <c:idx val="2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5A6-45F5-B645-B8CF7F312692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5A6-45F5-B645-B8CF7F312692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5A6-45F5-B645-B8CF7F312692}"/>
              </c:ext>
            </c:extLst>
          </c:dPt>
          <c:dPt>
            <c:idx val="5"/>
            <c:invertIfNegative val="0"/>
            <c:bubble3D val="0"/>
            <c:spPr>
              <a:solidFill>
                <a:srgbClr val="92D05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5A6-45F5-B645-B8CF7F312692}"/>
              </c:ext>
            </c:extLst>
          </c:dPt>
          <c:dPt>
            <c:idx val="6"/>
            <c:invertIfNegative val="0"/>
            <c:bubble3D val="0"/>
            <c:spPr>
              <a:solidFill>
                <a:srgbClr val="70AD47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5A6-45F5-B645-B8CF7F312692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Zestawienie!$B$48:$H$48</c:f>
              <c:numCache>
                <c:formatCode>#,##0</c:formatCode>
                <c:ptCount val="7"/>
                <c:pt idx="0">
                  <c:v>3832.6178791738198</c:v>
                </c:pt>
                <c:pt idx="1">
                  <c:v>4761.7691356037867</c:v>
                </c:pt>
                <c:pt idx="2">
                  <c:v>4258.1816362911368</c:v>
                </c:pt>
                <c:pt idx="3">
                  <c:v>5527.9152695726807</c:v>
                </c:pt>
                <c:pt idx="4">
                  <c:v>2873.2450274820235</c:v>
                </c:pt>
                <c:pt idx="5">
                  <c:v>3119.9304992321677</c:v>
                </c:pt>
                <c:pt idx="6">
                  <c:v>3252.933927116801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5A6-45F5-B645-B8CF7F3126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90"/>
        <c:axId val="566442120"/>
        <c:axId val="566444080"/>
      </c:barChart>
      <c:catAx>
        <c:axId val="56644212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4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44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4440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7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/>
                  <a:t>Łączne koszty roczne [zł/rok]</a:t>
                </a:r>
              </a:p>
            </c:rich>
          </c:tx>
          <c:layout>
            <c:manualLayout>
              <c:xMode val="edge"/>
              <c:yMode val="edge"/>
              <c:x val="1.968302812723122E-2"/>
              <c:y val="0.2171916010498687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42120"/>
        <c:crosses val="autoZero"/>
        <c:crossBetween val="between"/>
        <c:majorUnit val="2000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7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l-PL" sz="700"/>
              <a:t>Porównanie rocznych kosztów eksploatacyjnych systemów grzewczych</a:t>
            </a:r>
          </a:p>
        </c:rich>
      </c:tx>
      <c:layout>
        <c:manualLayout>
          <c:xMode val="edge"/>
          <c:yMode val="edge"/>
          <c:x val="0.14204528313271186"/>
          <c:y val="3.80114696645578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46994567861048"/>
          <c:y val="0.14680116803822674"/>
          <c:w val="0.827653045937363"/>
          <c:h val="0.6339034146774964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Zestawienie!$A$55</c:f>
              <c:strCache>
                <c:ptCount val="1"/>
                <c:pt idx="0">
                  <c:v>Koszty zużycia energii</c:v>
                </c:pt>
              </c:strCache>
            </c:strRef>
          </c:tx>
          <c:spPr>
            <a:solidFill>
              <a:srgbClr val="FF808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32C-46EF-AFC7-8AED5FFAAF95}"/>
              </c:ext>
            </c:extLst>
          </c:dPt>
          <c:dLbls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Zestawienie!$B$55:$H$55</c:f>
              <c:numCache>
                <c:formatCode>#,##0</c:formatCode>
                <c:ptCount val="7"/>
                <c:pt idx="0">
                  <c:v>2214.6943550955411</c:v>
                </c:pt>
                <c:pt idx="1">
                  <c:v>1795.2354650744437</c:v>
                </c:pt>
                <c:pt idx="2">
                  <c:v>1765.7878539941221</c:v>
                </c:pt>
                <c:pt idx="3">
                  <c:v>4716.2428577736109</c:v>
                </c:pt>
                <c:pt idx="4">
                  <c:v>0</c:v>
                </c:pt>
                <c:pt idx="5">
                  <c:v>1430.7396825396825</c:v>
                </c:pt>
                <c:pt idx="6">
                  <c:v>1179.6626984126983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2C-46EF-AFC7-8AED5FFAAF95}"/>
            </c:ext>
          </c:extLst>
        </c:ser>
        <c:ser>
          <c:idx val="2"/>
          <c:order val="1"/>
          <c:tx>
            <c:strRef>
              <c:f>Zestawienie!$A$56</c:f>
              <c:strCache>
                <c:ptCount val="1"/>
                <c:pt idx="0">
                  <c:v>Koszty obsługi, serwisu i napraw</c:v>
                </c:pt>
              </c:strCache>
            </c:strRef>
          </c:tx>
          <c:spPr>
            <a:solidFill>
              <a:srgbClr val="969696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Zestawienie!$B$56:$H$56</c:f>
              <c:numCache>
                <c:formatCode>#,##0</c:formatCode>
                <c:ptCount val="7"/>
                <c:pt idx="0">
                  <c:v>300</c:v>
                </c:pt>
                <c:pt idx="1">
                  <c:v>675</c:v>
                </c:pt>
                <c:pt idx="2">
                  <c:v>480</c:v>
                </c:pt>
                <c:pt idx="3">
                  <c:v>82.5</c:v>
                </c:pt>
                <c:pt idx="4">
                  <c:v>879.63333333333333</c:v>
                </c:pt>
                <c:pt idx="5">
                  <c:v>420</c:v>
                </c:pt>
                <c:pt idx="6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2C-46EF-AFC7-8AED5FFAAF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66436632"/>
        <c:axId val="566442904"/>
      </c:barChart>
      <c:catAx>
        <c:axId val="56643663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4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42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4429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7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/>
                  <a:t>Całkowity koszt roczny w zł</a:t>
                </a:r>
              </a:p>
            </c:rich>
          </c:tx>
          <c:layout>
            <c:manualLayout>
              <c:xMode val="edge"/>
              <c:yMode val="edge"/>
              <c:x val="1.893937108436158E-2"/>
              <c:y val="0.1988314141368167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66436632"/>
        <c:crosses val="autoZero"/>
        <c:crossBetween val="between"/>
        <c:majorUnit val="1000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6584884504379482"/>
          <c:y val="0.23684250451352543"/>
          <c:w val="0.30763794611880413"/>
          <c:h val="9.956609470059016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900"/>
            </a:pPr>
            <a:r>
              <a:rPr lang="pl-PL" sz="900"/>
              <a:t>Porównanie kosztów inwestycyjnych [PLN]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657640725611891E-2"/>
          <c:y val="0.12079927657949543"/>
          <c:w val="0.9186971876349912"/>
          <c:h val="0.62080825686425645"/>
        </c:manualLayout>
      </c:layout>
      <c:barChart>
        <c:barDir val="col"/>
        <c:grouping val="stacked"/>
        <c:varyColors val="0"/>
        <c:ser>
          <c:idx val="8"/>
          <c:order val="0"/>
          <c:tx>
            <c:strRef>
              <c:f>Zestawienie!$A$68</c:f>
              <c:strCache>
                <c:ptCount val="1"/>
                <c:pt idx="0">
                  <c:v>Koszty instalacji c.o. 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Zestawienie!$B$68:$H$68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B4-4D09-918D-25C8E1781350}"/>
            </c:ext>
          </c:extLst>
        </c:ser>
        <c:ser>
          <c:idx val="3"/>
          <c:order val="1"/>
          <c:tx>
            <c:strRef>
              <c:f>Zestawienie!$A$64</c:f>
              <c:strCache>
                <c:ptCount val="1"/>
                <c:pt idx="0">
                  <c:v>Kocioł z osprzętem, montażem i uruchomieniem</c:v>
                </c:pt>
              </c:strCache>
            </c:strRef>
          </c:tx>
          <c:spPr>
            <a:solidFill>
              <a:srgbClr val="7030A0"/>
            </a:solidFill>
            <a:ln w="3175">
              <a:solidFill>
                <a:schemeClr val="tx1"/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Zestawienie!$B$64:$H$64</c:f>
              <c:numCache>
                <c:formatCode>#,##0</c:formatCode>
                <c:ptCount val="7"/>
                <c:pt idx="0">
                  <c:v>10000</c:v>
                </c:pt>
                <c:pt idx="1">
                  <c:v>0</c:v>
                </c:pt>
                <c:pt idx="2">
                  <c:v>14000</c:v>
                </c:pt>
                <c:pt idx="3">
                  <c:v>5500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B4-4D09-918D-25C8E1781350}"/>
            </c:ext>
          </c:extLst>
        </c:ser>
        <c:ser>
          <c:idx val="5"/>
          <c:order val="2"/>
          <c:tx>
            <c:strRef>
              <c:f>Zestawienie!$A$66</c:f>
              <c:strCache>
                <c:ptCount val="1"/>
                <c:pt idx="0">
                  <c:v>Pompa ciepła z montażem</c:v>
                </c:pt>
              </c:strCache>
            </c:strRef>
          </c:tx>
          <c:spPr>
            <a:solidFill>
              <a:srgbClr val="ED7D31"/>
            </a:solidFill>
            <a:ln w="3175">
              <a:solidFill>
                <a:schemeClr val="tx1"/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Zestawienie!$B$66:$H$66</c:f>
              <c:numCache>
                <c:formatCode>#,##0</c:formatCode>
                <c:ptCount val="7"/>
                <c:pt idx="1">
                  <c:v>45000</c:v>
                </c:pt>
                <c:pt idx="3">
                  <c:v>0</c:v>
                </c:pt>
                <c:pt idx="4">
                  <c:v>28000</c:v>
                </c:pt>
                <c:pt idx="5">
                  <c:v>28000</c:v>
                </c:pt>
                <c:pt idx="6">
                  <c:v>28000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B4-4D09-918D-25C8E1781350}"/>
            </c:ext>
          </c:extLst>
        </c:ser>
        <c:ser>
          <c:idx val="1"/>
          <c:order val="3"/>
          <c:tx>
            <c:strRef>
              <c:f>Zestawienie!$A$62</c:f>
              <c:strCache>
                <c:ptCount val="1"/>
                <c:pt idx="0">
                  <c:v>Instalacja kolektorów słonecznych, paneli PV lub chłodzenia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Zestawienie!$B$62:$H$62</c:f>
              <c:numCache>
                <c:formatCode>#,##0</c:formatCode>
                <c:ptCount val="7"/>
                <c:pt idx="0">
                  <c:v>6000</c:v>
                </c:pt>
                <c:pt idx="1">
                  <c:v>0</c:v>
                </c:pt>
                <c:pt idx="2">
                  <c:v>6000</c:v>
                </c:pt>
                <c:pt idx="3">
                  <c:v>6000</c:v>
                </c:pt>
                <c:pt idx="4">
                  <c:v>15981.666666666666</c:v>
                </c:pt>
                <c:pt idx="5">
                  <c:v>0</c:v>
                </c:pt>
                <c:pt idx="6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B4-4D09-918D-25C8E1781350}"/>
            </c:ext>
          </c:extLst>
        </c:ser>
        <c:ser>
          <c:idx val="2"/>
          <c:order val="4"/>
          <c:tx>
            <c:strRef>
              <c:f>Zestawienie!$A$63</c:f>
              <c:strCache>
                <c:ptCount val="1"/>
                <c:pt idx="0">
                  <c:v>Komin lub przewód powietrzno-spalinowy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 w="3175">
              <a:solidFill>
                <a:schemeClr val="tx1"/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Zestawienie!$B$63:$H$63</c:f>
              <c:numCache>
                <c:formatCode>#,##0</c:formatCode>
                <c:ptCount val="7"/>
                <c:pt idx="0">
                  <c:v>3000</c:v>
                </c:pt>
                <c:pt idx="1">
                  <c:v>0</c:v>
                </c:pt>
                <c:pt idx="2">
                  <c:v>4000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FB4-4D09-918D-25C8E1781350}"/>
            </c:ext>
          </c:extLst>
        </c:ser>
        <c:ser>
          <c:idx val="4"/>
          <c:order val="5"/>
          <c:tx>
            <c:strRef>
              <c:f>Zestawienie!$A$65</c:f>
              <c:strCache>
                <c:ptCount val="1"/>
                <c:pt idx="0">
                  <c:v>Sieć i instalacja gazowa</c:v>
                </c:pt>
              </c:strCache>
            </c:strRef>
          </c:tx>
          <c:spPr>
            <a:solidFill>
              <a:srgbClr val="FFC000"/>
            </a:solidFill>
            <a:ln w="3175">
              <a:solidFill>
                <a:schemeClr val="tx1"/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Zestawienie!$B$65:$H$65</c:f>
              <c:numCache>
                <c:formatCode>#,##0</c:formatCode>
                <c:ptCount val="7"/>
                <c:pt idx="0">
                  <c:v>7000</c:v>
                </c:pt>
                <c:pt idx="1">
                  <c:v>7000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B4-4D09-918D-25C8E1781350}"/>
            </c:ext>
          </c:extLst>
        </c:ser>
        <c:ser>
          <c:idx val="6"/>
          <c:order val="6"/>
          <c:tx>
            <c:strRef>
              <c:f>Zestawienie!$A$67</c:f>
              <c:strCache>
                <c:ptCount val="1"/>
                <c:pt idx="0">
                  <c:v>Dolne źródło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Zestawienie!$B$67:$H$67</c:f>
              <c:numCache>
                <c:formatCode>#,##0</c:formatCode>
                <c:ptCount val="7"/>
                <c:pt idx="6">
                  <c:v>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FB4-4D09-918D-25C8E1781350}"/>
            </c:ext>
          </c:extLst>
        </c:ser>
        <c:ser>
          <c:idx val="0"/>
          <c:order val="7"/>
          <c:tx>
            <c:strRef>
              <c:f>Zestawienie!$A$61</c:f>
              <c:strCache>
                <c:ptCount val="1"/>
                <c:pt idx="0">
                  <c:v>Magazyn opału</c:v>
                </c:pt>
              </c:strCache>
            </c:strRef>
          </c:tx>
          <c:spPr>
            <a:solidFill>
              <a:srgbClr val="5B9BD5"/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Zestawienie!$B$61:$H$61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FB4-4D09-918D-25C8E17813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66433104"/>
        <c:axId val="566438200"/>
      </c:barChart>
      <c:catAx>
        <c:axId val="566433104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400"/>
            </a:pPr>
            <a:endParaRPr lang="pl-PL"/>
          </a:p>
        </c:txPr>
        <c:crossAx val="566438200"/>
        <c:crosses val="autoZero"/>
        <c:auto val="1"/>
        <c:lblAlgn val="ctr"/>
        <c:lblOffset val="100"/>
        <c:noMultiLvlLbl val="0"/>
      </c:catAx>
      <c:valAx>
        <c:axId val="566438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/>
            </a:pPr>
            <a:endParaRPr lang="pl-PL"/>
          </a:p>
        </c:txPr>
        <c:crossAx val="566433104"/>
        <c:crosses val="autoZero"/>
        <c:crossBetween val="between"/>
      </c:valAx>
      <c:spPr>
        <a:solidFill>
          <a:schemeClr val="bg1">
            <a:lumMod val="95000"/>
          </a:schemeClr>
        </a:solidFill>
        <a:ln w="25400">
          <a:noFill/>
        </a:ln>
      </c:spPr>
    </c:plotArea>
    <c:legend>
      <c:legendPos val="b"/>
      <c:layout>
        <c:manualLayout>
          <c:xMode val="edge"/>
          <c:yMode val="edge"/>
          <c:x val="3.1044866935837346E-2"/>
          <c:y val="0.86412160191687748"/>
          <c:w val="0.94624347054849978"/>
          <c:h val="0.11409165070582394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500"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/>
            </a:pPr>
            <a:r>
              <a:rPr lang="pl-PL" sz="900" b="1"/>
              <a:t>Względne koszty roczne</a:t>
            </a:r>
          </a:p>
        </c:rich>
      </c:tx>
      <c:layout>
        <c:manualLayout>
          <c:xMode val="edge"/>
          <c:yMode val="edge"/>
          <c:x val="0.34033622509515071"/>
          <c:y val="3.86145373446816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0900722134976686E-2"/>
          <c:y val="0.14402173913043476"/>
          <c:w val="0.85970760766456078"/>
          <c:h val="0.6861413043478260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808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93D-49D5-8BEA-DED70EDE426D}"/>
              </c:ext>
            </c:extLst>
          </c:dPt>
          <c:dPt>
            <c:idx val="1"/>
            <c:invertIfNegative val="0"/>
            <c:bubble3D val="0"/>
            <c:spPr>
              <a:solidFill>
                <a:srgbClr val="FFC0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93D-49D5-8BEA-DED70EDE426D}"/>
              </c:ext>
            </c:extLst>
          </c:dPt>
          <c:dPt>
            <c:idx val="2"/>
            <c:invertIfNegative val="0"/>
            <c:bubble3D val="0"/>
            <c:spPr>
              <a:solidFill>
                <a:schemeClr val="tx1">
                  <a:lumMod val="65000"/>
                  <a:lumOff val="35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93D-49D5-8BEA-DED70EDE426D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93D-49D5-8BEA-DED70EDE426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93D-49D5-8BEA-DED70EDE426D}"/>
              </c:ext>
            </c:extLst>
          </c:dPt>
          <c:dPt>
            <c:idx val="5"/>
            <c:invertIfNegative val="0"/>
            <c:bubble3D val="0"/>
            <c:spPr>
              <a:solidFill>
                <a:srgbClr val="92D05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E93D-49D5-8BEA-DED70EDE426D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E93D-49D5-8BEA-DED70EDE426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b="1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Zestawienie!$B$80:$H$80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Zestawienie!$B$81:$H$81</c:f>
              <c:numCache>
                <c:formatCode>0%</c:formatCode>
                <c:ptCount val="7"/>
                <c:pt idx="0">
                  <c:v>1.3338987251402452</c:v>
                </c:pt>
                <c:pt idx="1">
                  <c:v>1.6572791704356578</c:v>
                </c:pt>
                <c:pt idx="2">
                  <c:v>1.4820113131885611</c:v>
                </c:pt>
                <c:pt idx="3">
                  <c:v>1.9239275511483562</c:v>
                </c:pt>
                <c:pt idx="4">
                  <c:v>1</c:v>
                </c:pt>
                <c:pt idx="5">
                  <c:v>1.0858560510470379</c:v>
                </c:pt>
                <c:pt idx="6">
                  <c:v>1.1321463696980689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93D-49D5-8BEA-DED70EDE4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66440552"/>
        <c:axId val="566453880"/>
      </c:barChart>
      <c:catAx>
        <c:axId val="56644055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/>
            </a:pPr>
            <a:endParaRPr lang="pl-PL"/>
          </a:p>
        </c:txPr>
        <c:crossAx val="56645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66453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pl-PL"/>
          </a:p>
        </c:txPr>
        <c:crossAx val="566440552"/>
        <c:crosses val="autoZero"/>
        <c:crossBetween val="between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6350">
      <a:solidFill>
        <a:sysClr val="windowText" lastClr="000000"/>
      </a:solidFill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000" b="1">
                <a:solidFill>
                  <a:sysClr val="windowText" lastClr="000000"/>
                </a:solidFill>
              </a:rPr>
              <a:t>Prosty okres zwrotu</a:t>
            </a:r>
            <a:r>
              <a:rPr lang="pl-PL" sz="1000" b="1" baseline="0">
                <a:solidFill>
                  <a:sysClr val="windowText" lastClr="000000"/>
                </a:solidFill>
              </a:rPr>
              <a:t> dod. nakład. inwestycyjnych PC (w. F)  
</a:t>
            </a:r>
            <a:r>
              <a:rPr lang="pl-PL" sz="1000" b="1" i="0" u="none" strike="noStrike" baseline="0">
                <a:effectLst/>
              </a:rPr>
              <a:t>w odniesieni</a:t>
            </a:r>
            <a:r>
              <a:rPr lang="pl-PL" sz="1000" b="1" baseline="0">
                <a:solidFill>
                  <a:sysClr val="windowText" lastClr="000000"/>
                </a:solidFill>
              </a:rPr>
              <a:t>u do kotła elektrycznego</a:t>
            </a:r>
            <a:r>
              <a:rPr lang="pl-PL" sz="1000" b="1" baseline="0">
                <a:solidFill>
                  <a:schemeClr val="accent6">
                    <a:lumMod val="50000"/>
                  </a:schemeClr>
                </a:solidFill>
              </a:rPr>
              <a:t> (w. D)</a:t>
            </a:r>
            <a:r>
              <a:rPr lang="pl-PL" sz="1000" b="1" baseline="0">
                <a:solidFill>
                  <a:sysClr val="windowText" lastClr="000000"/>
                </a:solidFill>
              </a:rPr>
              <a:t> </a:t>
            </a:r>
            <a:endParaRPr lang="pl-PL" sz="10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75260745468041"/>
          <c:y val="0.18867074181516785"/>
          <c:w val="0.83669413772258061"/>
          <c:h val="0.54804151125846112"/>
        </c:manualLayout>
      </c:layout>
      <c:scatterChart>
        <c:scatterStyle val="smoothMarker"/>
        <c:varyColors val="0"/>
        <c:ser>
          <c:idx val="0"/>
          <c:order val="0"/>
          <c:tx>
            <c:v>Z uwzględnieniem kosztów instalacji c.o.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5"/>
              <c:numFmt formatCode="#,##0.0" sourceLinked="0"/>
              <c:spPr>
                <a:solidFill>
                  <a:sysClr val="window" lastClr="FFFFFF"/>
                </a:solidFill>
                <a:ln>
                  <a:solidFill>
                    <a:srgbClr val="FF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16FC-4623-9FEA-D2119812E777}"/>
                </c:ext>
              </c:extLst>
            </c:dLbl>
            <c:numFmt formatCode="#,##0.0" sourceLinked="0"/>
            <c:spPr>
              <a:solidFill>
                <a:srgbClr val="ED7D31"/>
              </a:solidFill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Zestawienie!$D$124:$D$144</c:f>
              <c:numCache>
                <c:formatCode>#,##0</c:formatCode>
                <c:ptCount val="21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27</c:v>
                </c:pt>
                <c:pt idx="5">
                  <c:v>28</c:v>
                </c:pt>
                <c:pt idx="6">
                  <c:v>29</c:v>
                </c:pt>
                <c:pt idx="7">
                  <c:v>30</c:v>
                </c:pt>
                <c:pt idx="8">
                  <c:v>31</c:v>
                </c:pt>
                <c:pt idx="9">
                  <c:v>32</c:v>
                </c:pt>
                <c:pt idx="10">
                  <c:v>33</c:v>
                </c:pt>
                <c:pt idx="11">
                  <c:v>34</c:v>
                </c:pt>
                <c:pt idx="12">
                  <c:v>35</c:v>
                </c:pt>
                <c:pt idx="13">
                  <c:v>36</c:v>
                </c:pt>
                <c:pt idx="14">
                  <c:v>37</c:v>
                </c:pt>
                <c:pt idx="15">
                  <c:v>38</c:v>
                </c:pt>
                <c:pt idx="16">
                  <c:v>39</c:v>
                </c:pt>
                <c:pt idx="17">
                  <c:v>40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</c:numCache>
            </c:numRef>
          </c:xVal>
          <c:yVal>
            <c:numRef>
              <c:f>Zestawienie!$E$124:$E$144</c:f>
              <c:numCache>
                <c:formatCode>General</c:formatCode>
                <c:ptCount val="21"/>
                <c:pt idx="0">
                  <c:v>1.6112601369986925</c:v>
                </c:pt>
                <c:pt idx="1">
                  <c:v>1.95047279741947</c:v>
                </c:pt>
                <c:pt idx="2">
                  <c:v>2.2896854578402475</c:v>
                </c:pt>
                <c:pt idx="3">
                  <c:v>2.6288981182610249</c:v>
                </c:pt>
                <c:pt idx="4">
                  <c:v>2.968110778681802</c:v>
                </c:pt>
                <c:pt idx="5">
                  <c:v>3.3073234391025794</c:v>
                </c:pt>
                <c:pt idx="6">
                  <c:v>3.6465360995233569</c:v>
                </c:pt>
                <c:pt idx="7">
                  <c:v>3.9857487599441344</c:v>
                </c:pt>
                <c:pt idx="8">
                  <c:v>4.3249614203649118</c:v>
                </c:pt>
                <c:pt idx="9">
                  <c:v>4.6641740807856893</c:v>
                </c:pt>
                <c:pt idx="10">
                  <c:v>5.0033867412064668</c:v>
                </c:pt>
                <c:pt idx="11">
                  <c:v>5.3425994016272442</c:v>
                </c:pt>
                <c:pt idx="12">
                  <c:v>5.6818120620480217</c:v>
                </c:pt>
                <c:pt idx="13">
                  <c:v>6.0210247224687983</c:v>
                </c:pt>
                <c:pt idx="14">
                  <c:v>6.3602373828895757</c:v>
                </c:pt>
                <c:pt idx="15">
                  <c:v>6.6994500433103532</c:v>
                </c:pt>
                <c:pt idx="16">
                  <c:v>7.0386627037311307</c:v>
                </c:pt>
                <c:pt idx="17">
                  <c:v>7.3778753641519081</c:v>
                </c:pt>
                <c:pt idx="18">
                  <c:v>7.7170880245726856</c:v>
                </c:pt>
                <c:pt idx="19">
                  <c:v>8.0563006849934631</c:v>
                </c:pt>
                <c:pt idx="20">
                  <c:v>8.3955133454142405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FC-4623-9FEA-D2119812E777}"/>
            </c:ext>
          </c:extLst>
        </c:ser>
        <c:ser>
          <c:idx val="2"/>
          <c:order val="1"/>
          <c:tx>
            <c:v>Graniczny okres zwrotu 7 lat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Zestawienie!$D$101:$D$121</c:f>
              <c:numCache>
                <c:formatCode>#,##0</c:formatCode>
                <c:ptCount val="21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27</c:v>
                </c:pt>
                <c:pt idx="5">
                  <c:v>28</c:v>
                </c:pt>
                <c:pt idx="6">
                  <c:v>29</c:v>
                </c:pt>
                <c:pt idx="7">
                  <c:v>30</c:v>
                </c:pt>
                <c:pt idx="8">
                  <c:v>31</c:v>
                </c:pt>
                <c:pt idx="9">
                  <c:v>32</c:v>
                </c:pt>
                <c:pt idx="10">
                  <c:v>33</c:v>
                </c:pt>
                <c:pt idx="11">
                  <c:v>34</c:v>
                </c:pt>
                <c:pt idx="12">
                  <c:v>35</c:v>
                </c:pt>
                <c:pt idx="13">
                  <c:v>36</c:v>
                </c:pt>
                <c:pt idx="14">
                  <c:v>37</c:v>
                </c:pt>
                <c:pt idx="15">
                  <c:v>38</c:v>
                </c:pt>
                <c:pt idx="16">
                  <c:v>39</c:v>
                </c:pt>
                <c:pt idx="17">
                  <c:v>40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</c:numCache>
            </c:numRef>
          </c:xVal>
          <c:yVal>
            <c:numRef>
              <c:f>Zestawienie!$G$101:$G$121</c:f>
              <c:numCache>
                <c:formatCode>General</c:formatCode>
                <c:ptCount val="21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6FC-4623-9FEA-D2119812E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6440160"/>
        <c:axId val="566458976"/>
      </c:scatterChart>
      <c:valAx>
        <c:axId val="566440160"/>
        <c:scaling>
          <c:orientation val="minMax"/>
          <c:max val="3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900" b="1">
                    <a:solidFill>
                      <a:sysClr val="windowText" lastClr="000000"/>
                    </a:solidFill>
                  </a:rPr>
                  <a:t>Koszt pompy ciepła z montażem w wariancie F,</a:t>
                </a:r>
                <a:r>
                  <a:rPr lang="pl-PL" sz="900" b="1" baseline="0">
                    <a:solidFill>
                      <a:sysClr val="windowText" lastClr="000000"/>
                    </a:solidFill>
                  </a:rPr>
                  <a:t> </a:t>
                </a:r>
                <a:r>
                  <a:rPr lang="pl-PL" sz="900" b="1">
                    <a:solidFill>
                      <a:sysClr val="windowText" lastClr="000000"/>
                    </a:solidFill>
                  </a:rPr>
                  <a:t>brutto [w tys. zł]</a:t>
                </a:r>
              </a:p>
            </c:rich>
          </c:tx>
          <c:layout>
            <c:manualLayout>
              <c:xMode val="edge"/>
              <c:yMode val="edge"/>
              <c:x val="9.2273684420626126E-2"/>
              <c:y val="0.8305253869128427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566458976"/>
        <c:crosses val="autoZero"/>
        <c:crossBetween val="midCat"/>
        <c:majorUnit val="1"/>
      </c:valAx>
      <c:valAx>
        <c:axId val="5664589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ysClr val="windowText" lastClr="000000"/>
                    </a:solidFill>
                  </a:rPr>
                  <a:t>Okres zwrotu nakładów [lata]</a:t>
                </a:r>
              </a:p>
            </c:rich>
          </c:tx>
          <c:layout>
            <c:manualLayout>
              <c:xMode val="edge"/>
              <c:yMode val="edge"/>
              <c:x val="8.0578924782691123E-3"/>
              <c:y val="0.1688052463269677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6440160"/>
        <c:crosses val="autoZero"/>
        <c:crossBetween val="midCat"/>
      </c:valAx>
      <c:spPr>
        <a:solidFill>
          <a:schemeClr val="bg1">
            <a:lumMod val="95000"/>
          </a:schemeClr>
        </a:solidFill>
        <a:ln w="25400">
          <a:noFill/>
        </a:ln>
      </c:spPr>
    </c:plotArea>
    <c:legend>
      <c:legendPos val="b"/>
      <c:layout>
        <c:manualLayout>
          <c:xMode val="edge"/>
          <c:yMode val="edge"/>
          <c:x val="1.3556979331956128E-2"/>
          <c:y val="0.90712696473285659"/>
          <c:w val="0.93644302066804386"/>
          <c:h val="8.8244034150903539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/>
            </a:pPr>
            <a:r>
              <a:rPr lang="pl-PL"/>
              <a:t>Całkowite koszty zakumulowane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704639902966674"/>
          <c:y val="0.10369576055740286"/>
          <c:w val="0.77641622922134734"/>
          <c:h val="0.63544522594016395"/>
        </c:manualLayout>
      </c:layout>
      <c:lineChart>
        <c:grouping val="standard"/>
        <c:varyColors val="0"/>
        <c:ser>
          <c:idx val="0"/>
          <c:order val="0"/>
          <c:tx>
            <c:strRef>
              <c:f>Zestawienie!$B$204</c:f>
              <c:strCache>
                <c:ptCount val="1"/>
                <c:pt idx="0">
                  <c:v>Wariant A, KG-spr. 87%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Zestawienie!$B$207:$B$227</c:f>
              <c:numCache>
                <c:formatCode>0</c:formatCode>
                <c:ptCount val="21"/>
                <c:pt idx="0" formatCode="General">
                  <c:v>-20900</c:v>
                </c:pt>
                <c:pt idx="1">
                  <c:v>-23399.988540153463</c:v>
                </c:pt>
                <c:pt idx="2">
                  <c:v>-25885.357264282633</c:v>
                </c:pt>
                <c:pt idx="3">
                  <c:v>-28356.191668387663</c:v>
                </c:pt>
                <c:pt idx="4">
                  <c:v>-30812.576748492073</c:v>
                </c:pt>
                <c:pt idx="5">
                  <c:v>-33254.597003566632</c:v>
                </c:pt>
                <c:pt idx="6">
                  <c:v>-35682.336438436076</c:v>
                </c:pt>
                <c:pt idx="7">
                  <c:v>-38095.878566668864</c:v>
                </c:pt>
                <c:pt idx="8">
                  <c:v>-40495.306413449987</c:v>
                </c:pt>
                <c:pt idx="9">
                  <c:v>-42880.702518437072</c:v>
                </c:pt>
                <c:pt idx="10">
                  <c:v>-45252.148938599676</c:v>
                </c:pt>
                <c:pt idx="11">
                  <c:v>-47609.72725104203</c:v>
                </c:pt>
                <c:pt idx="12">
                  <c:v>-49953.518555809278</c:v>
                </c:pt>
                <c:pt idx="13">
                  <c:v>-52283.603478677309</c:v>
                </c:pt>
                <c:pt idx="14">
                  <c:v>-54600.062173926221</c:v>
                </c:pt>
                <c:pt idx="15">
                  <c:v>-56902.974327097661</c:v>
                </c:pt>
                <c:pt idx="16">
                  <c:v>-59192.419157735931</c:v>
                </c:pt>
                <c:pt idx="17">
                  <c:v>-61468.475422113152</c:v>
                </c:pt>
                <c:pt idx="18">
                  <c:v>-63731.221415938468</c:v>
                </c:pt>
                <c:pt idx="19">
                  <c:v>-65980.734977051354</c:v>
                </c:pt>
                <c:pt idx="20">
                  <c:v>-68217.093488099257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D3-4BE4-AC43-46EB93D45CE2}"/>
            </c:ext>
          </c:extLst>
        </c:ser>
        <c:ser>
          <c:idx val="1"/>
          <c:order val="1"/>
          <c:tx>
            <c:strRef>
              <c:f>Zestawienie!$C$204</c:f>
              <c:strCache>
                <c:ptCount val="1"/>
                <c:pt idx="0">
                  <c:v>Wariant B, Gaz PC-wsp. ef. 124%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Zestawienie!$C$207:$C$227</c:f>
              <c:numCache>
                <c:formatCode>0</c:formatCode>
                <c:ptCount val="21"/>
                <c:pt idx="0" formatCode="General">
                  <c:v>-38500</c:v>
                </c:pt>
                <c:pt idx="1">
                  <c:v>-40955.789643641263</c:v>
                </c:pt>
                <c:pt idx="2">
                  <c:v>-43397.217944337252</c:v>
                </c:pt>
                <c:pt idx="3">
                  <c:v>-45824.368886549637</c:v>
                </c:pt>
                <c:pt idx="4">
                  <c:v>-48237.325963602889</c:v>
                </c:pt>
                <c:pt idx="5">
                  <c:v>-50636.172180556416</c:v>
                </c:pt>
                <c:pt idx="6">
                  <c:v>-53020.990057059913</c:v>
                </c:pt>
                <c:pt idx="7">
                  <c:v>-55391.861630192056</c:v>
                </c:pt>
                <c:pt idx="8">
                  <c:v>-57748.868457282479</c:v>
                </c:pt>
                <c:pt idx="9">
                  <c:v>-60092.091618717408</c:v>
                </c:pt>
                <c:pt idx="10">
                  <c:v>-62421.611720728746</c:v>
                </c:pt>
                <c:pt idx="11">
                  <c:v>-64737.508898166911</c:v>
                </c:pt>
                <c:pt idx="12">
                  <c:v>-67039.862817257483</c:v>
                </c:pt>
                <c:pt idx="13">
                  <c:v>-69328.752678341683</c:v>
                </c:pt>
                <c:pt idx="14">
                  <c:v>-71604.257218600833</c:v>
                </c:pt>
                <c:pt idx="15">
                  <c:v>-73866.454714764899</c:v>
                </c:pt>
                <c:pt idx="16">
                  <c:v>-76115.422985805184</c:v>
                </c:pt>
                <c:pt idx="17">
                  <c:v>-78351.239395611337</c:v>
                </c:pt>
                <c:pt idx="18">
                  <c:v>-80573.980855652524</c:v>
                </c:pt>
                <c:pt idx="19">
                  <c:v>-82783.723827623297</c:v>
                </c:pt>
                <c:pt idx="20">
                  <c:v>-84980.544326073781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D3-4BE4-AC43-46EB93D45CE2}"/>
            </c:ext>
          </c:extLst>
        </c:ser>
        <c:ser>
          <c:idx val="2"/>
          <c:order val="2"/>
          <c:tx>
            <c:strRef>
              <c:f>Zestawienie!$D$204</c:f>
              <c:strCache>
                <c:ptCount val="1"/>
                <c:pt idx="0">
                  <c:v>Wariant C, Pelet-spr. 83%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Zestawienie!$D$207:$D$227</c:f>
              <c:numCache>
                <c:formatCode>0</c:formatCode>
                <c:ptCount val="21"/>
                <c:pt idx="0" formatCode="General">
                  <c:v>-34600</c:v>
                </c:pt>
                <c:pt idx="1">
                  <c:v>-36832.654591690065</c:v>
                </c:pt>
                <c:pt idx="2">
                  <c:v>-39052.252723779602</c:v>
                </c:pt>
                <c:pt idx="3">
                  <c:v>-41258.870749833528</c:v>
                </c:pt>
                <c:pt idx="4">
                  <c:v>-43452.584576904679</c:v>
                </c:pt>
                <c:pt idx="5">
                  <c:v>-45633.469668145</c:v>
                </c:pt>
                <c:pt idx="6">
                  <c:v>-47801.601045401469</c:v>
                </c:pt>
                <c:pt idx="7">
                  <c:v>-49957.053291796787</c:v>
                </c:pt>
                <c:pt idx="8">
                  <c:v>-52099.900554295054</c:v>
                </c:pt>
                <c:pt idx="9">
                  <c:v>-54230.216546252399</c:v>
                </c:pt>
                <c:pt idx="10">
                  <c:v>-56348.074549952682</c:v>
                </c:pt>
                <c:pt idx="11">
                  <c:v>-58453.547419128401</c:v>
                </c:pt>
                <c:pt idx="12">
                  <c:v>-60546.707581466835</c:v>
                </c:pt>
                <c:pt idx="13">
                  <c:v>-62627.627041101536</c:v>
                </c:pt>
                <c:pt idx="14">
                  <c:v>-64696.377381089245</c:v>
                </c:pt>
                <c:pt idx="15">
                  <c:v>-66753.029765872358</c:v>
                </c:pt>
                <c:pt idx="16">
                  <c:v>-68797.654943726913</c:v>
                </c:pt>
                <c:pt idx="17">
                  <c:v>-70830.323249196343</c:v>
                </c:pt>
                <c:pt idx="18">
                  <c:v>-72851.104605511006</c:v>
                </c:pt>
                <c:pt idx="19">
                  <c:v>-74860.068526993389</c:v>
                </c:pt>
                <c:pt idx="20">
                  <c:v>-76857.284121449571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1D3-4BE4-AC43-46EB93D45CE2}"/>
            </c:ext>
          </c:extLst>
        </c:ser>
        <c:ser>
          <c:idx val="3"/>
          <c:order val="3"/>
          <c:tx>
            <c:strRef>
              <c:f>Zestawienie!$E$204</c:f>
              <c:strCache>
                <c:ptCount val="1"/>
                <c:pt idx="0">
                  <c:v>Wariant D, KE-spr. 94%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Zestawienie!$E$207:$E$227</c:f>
              <c:numCache>
                <c:formatCode>0</c:formatCode>
                <c:ptCount val="21"/>
                <c:pt idx="0" formatCode="General">
                  <c:v>-9850</c:v>
                </c:pt>
                <c:pt idx="1">
                  <c:v>-14620.68003404394</c:v>
                </c:pt>
                <c:pt idx="2">
                  <c:v>-19363.461354438499</c:v>
                </c:pt>
                <c:pt idx="3">
                  <c:v>-24078.5071115559</c:v>
                </c:pt>
                <c:pt idx="4">
                  <c:v>-28765.979501672613</c:v>
                </c:pt>
                <c:pt idx="5">
                  <c:v>-33426.039772548873</c:v>
                </c:pt>
                <c:pt idx="6">
                  <c:v>-38058.84822897557</c:v>
                </c:pt>
                <c:pt idx="7">
                  <c:v>-42664.564238288658</c:v>
                </c:pt>
                <c:pt idx="8">
                  <c:v>-47243.346235851379</c:v>
                </c:pt>
                <c:pt idx="9">
                  <c:v>-51795.351730504379</c:v>
                </c:pt>
                <c:pt idx="10">
                  <c:v>-56320.737309983968</c:v>
                </c:pt>
                <c:pt idx="11">
                  <c:v>-60819.658646308701</c:v>
                </c:pt>
                <c:pt idx="12">
                  <c:v>-65292.270501134466</c:v>
                </c:pt>
                <c:pt idx="13">
                  <c:v>-69738.726731078204</c:v>
                </c:pt>
                <c:pt idx="14">
                  <c:v>-74159.180293010577</c:v>
                </c:pt>
                <c:pt idx="15">
                  <c:v>-78553.783249317625</c:v>
                </c:pt>
                <c:pt idx="16">
                  <c:v>-82922.686773131631</c:v>
                </c:pt>
                <c:pt idx="17">
                  <c:v>-87266.041153531522</c:v>
                </c:pt>
                <c:pt idx="18">
                  <c:v>-91583.995800712713</c:v>
                </c:pt>
                <c:pt idx="19">
                  <c:v>-95876.699251126745</c:v>
                </c:pt>
                <c:pt idx="20">
                  <c:v>-100144.299172591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1D3-4BE4-AC43-46EB93D45CE2}"/>
            </c:ext>
          </c:extLst>
        </c:ser>
        <c:ser>
          <c:idx val="4"/>
          <c:order val="4"/>
          <c:tx>
            <c:strRef>
              <c:f>Zestawienie!$F$204</c:f>
              <c:strCache>
                <c:ptCount val="1"/>
                <c:pt idx="0">
                  <c:v>Wariant E, PV+ PC P/W, SPF=3,45</c:v>
                </c:pt>
              </c:strCache>
            </c:strRef>
          </c:tx>
          <c:spPr>
            <a:ln w="28575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Zestawienie!$F$207:$F$227</c:f>
              <c:numCache>
                <c:formatCode>0</c:formatCode>
                <c:ptCount val="21"/>
                <c:pt idx="0" formatCode="General">
                  <c:v>-30787.166666666664</c:v>
                </c:pt>
                <c:pt idx="1">
                  <c:v>-31661.655945419101</c:v>
                </c:pt>
                <c:pt idx="2">
                  <c:v>-32531.031251781173</c:v>
                </c:pt>
                <c:pt idx="3">
                  <c:v>-33395.32249202417</c:v>
                </c:pt>
                <c:pt idx="4">
                  <c:v>-34254.559397528901</c:v>
                </c:pt>
                <c:pt idx="5">
                  <c:v>-35108.771525808457</c:v>
                </c:pt>
                <c:pt idx="6">
                  <c:v>-35957.988261524973</c:v>
                </c:pt>
                <c:pt idx="7">
                  <c:v>-36802.23881750046</c:v>
                </c:pt>
                <c:pt idx="8">
                  <c:v>-37641.552235721705</c:v>
                </c:pt>
                <c:pt idx="9">
                  <c:v>-38475.957388339317</c:v>
                </c:pt>
                <c:pt idx="10">
                  <c:v>-39305.482978660919</c:v>
                </c:pt>
                <c:pt idx="11">
                  <c:v>-40130.157542138535</c:v>
                </c:pt>
                <c:pt idx="12">
                  <c:v>-40950.009447350203</c:v>
                </c:pt>
                <c:pt idx="13">
                  <c:v>-41765.066896975834</c:v>
                </c:pt>
                <c:pt idx="14">
                  <c:v>-42575.3579287674</c:v>
                </c:pt>
                <c:pt idx="15">
                  <c:v>-43380.910416513398</c:v>
                </c:pt>
                <c:pt idx="16">
                  <c:v>-44181.752070997725</c:v>
                </c:pt>
                <c:pt idx="17">
                  <c:v>-44977.910440952903</c:v>
                </c:pt>
                <c:pt idx="18">
                  <c:v>-45769.412914007757</c:v>
                </c:pt>
                <c:pt idx="19">
                  <c:v>-46556.286717629548</c:v>
                </c:pt>
                <c:pt idx="20">
                  <c:v>-47338.558920060561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1D3-4BE4-AC43-46EB93D45CE2}"/>
            </c:ext>
          </c:extLst>
        </c:ser>
        <c:ser>
          <c:idx val="5"/>
          <c:order val="5"/>
          <c:tx>
            <c:strRef>
              <c:f>Zestawienie!$G$204</c:f>
              <c:strCache>
                <c:ptCount val="1"/>
                <c:pt idx="0">
                  <c:v>Wariant F, PC P/W, SPF=3,45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Zestawienie!$G$207:$G$227</c:f>
              <c:numCache>
                <c:formatCode>0</c:formatCode>
                <c:ptCount val="21"/>
                <c:pt idx="0" formatCode="General">
                  <c:v>-19600</c:v>
                </c:pt>
                <c:pt idx="1">
                  <c:v>-21439.916643460503</c:v>
                </c:pt>
                <c:pt idx="2">
                  <c:v>-23269.07354046802</c:v>
                </c:pt>
                <c:pt idx="3">
                  <c:v>-25087.533613516433</c:v>
                </c:pt>
                <c:pt idx="4">
                  <c:v>-26895.359417131807</c:v>
                </c:pt>
                <c:pt idx="5">
                  <c:v>-28692.613140024288</c:v>
                </c:pt>
                <c:pt idx="6">
                  <c:v>-30479.356607227339</c:v>
                </c:pt>
                <c:pt idx="7">
                  <c:v>-32255.651282224528</c:v>
                </c:pt>
                <c:pt idx="8">
                  <c:v>-34021.558269063833</c:v>
                </c:pt>
                <c:pt idx="9">
                  <c:v>-35777.138314459633</c:v>
                </c:pt>
                <c:pt idx="10">
                  <c:v>-37522.451809882361</c:v>
                </c:pt>
                <c:pt idx="11">
                  <c:v>-39257.558793635952</c:v>
                </c:pt>
                <c:pt idx="12">
                  <c:v>-40982.518952923143</c:v>
                </c:pt>
                <c:pt idx="13">
                  <c:v>-42697.391625898716</c:v>
                </c:pt>
                <c:pt idx="14">
                  <c:v>-44402.23580371069</c:v>
                </c:pt>
                <c:pt idx="15">
                  <c:v>-46097.110132529619</c:v>
                </c:pt>
                <c:pt idx="16">
                  <c:v>-47782.072915565965</c:v>
                </c:pt>
                <c:pt idx="17">
                  <c:v>-49457.18211507579</c:v>
                </c:pt>
                <c:pt idx="18">
                  <c:v>-51122.495354354563</c:v>
                </c:pt>
                <c:pt idx="19">
                  <c:v>-52778.069919719426</c:v>
                </c:pt>
                <c:pt idx="20">
                  <c:v>-54423.962762479816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51D3-4BE4-AC43-46EB93D45CE2}"/>
            </c:ext>
          </c:extLst>
        </c:ser>
        <c:ser>
          <c:idx val="6"/>
          <c:order val="6"/>
          <c:tx>
            <c:strRef>
              <c:f>Zestawienie!$H$204</c:f>
              <c:strCache>
                <c:ptCount val="1"/>
                <c:pt idx="0">
                  <c:v>Wariant G, PC S/W, SPF=3,75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Zestawienie!$H$207:$H$227</c:f>
              <c:numCache>
                <c:formatCode>0</c:formatCode>
                <c:ptCount val="21"/>
                <c:pt idx="0" formatCode="General">
                  <c:v>-32200</c:v>
                </c:pt>
                <c:pt idx="1">
                  <c:v>-33790.307945790402</c:v>
                </c:pt>
                <c:pt idx="2">
                  <c:v>-35371.315845114194</c:v>
                </c:pt>
                <c:pt idx="3">
                  <c:v>-36943.07808420802</c:v>
                </c:pt>
                <c:pt idx="4">
                  <c:v>-38505.648731260364</c:v>
                </c:pt>
                <c:pt idx="5">
                  <c:v>-40059.081538271465</c:v>
                </c:pt>
                <c:pt idx="6">
                  <c:v>-41603.429942902389</c:v>
                </c:pt>
                <c:pt idx="7">
                  <c:v>-43138.747070313242</c:v>
                </c:pt>
                <c:pt idx="8">
                  <c:v>-44665.085734990702</c:v>
                </c:pt>
                <c:pt idx="9">
                  <c:v>-46182.498442564785</c:v>
                </c:pt>
                <c:pt idx="10">
                  <c:v>-47691.037391615042</c:v>
                </c:pt>
                <c:pt idx="11">
                  <c:v>-49190.754475466172</c:v>
                </c:pt>
                <c:pt idx="12">
                  <c:v>-50681.701283973147</c:v>
                </c:pt>
                <c:pt idx="13">
                  <c:v>-52163.929105295865</c:v>
                </c:pt>
                <c:pt idx="14">
                  <c:v>-53637.488927663486</c:v>
                </c:pt>
                <c:pt idx="15">
                  <c:v>-55102.43144112837</c:v>
                </c:pt>
                <c:pt idx="16">
                  <c:v>-56558.807039309831</c:v>
                </c:pt>
                <c:pt idx="17">
                  <c:v>-58006.665821127666</c:v>
                </c:pt>
                <c:pt idx="18">
                  <c:v>-59446.057592525503</c:v>
                </c:pt>
                <c:pt idx="19">
                  <c:v>-60877.031868184182</c:v>
                </c:pt>
                <c:pt idx="20">
                  <c:v>-62299.637873224972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1D3-4BE4-AC43-46EB93D45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7779832"/>
        <c:axId val="557770816"/>
      </c:lineChart>
      <c:catAx>
        <c:axId val="557779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pl-PL"/>
                  <a:t>Okres użytkowania [lata]</a:t>
                </a:r>
              </a:p>
            </c:rich>
          </c:tx>
          <c:layout>
            <c:manualLayout>
              <c:xMode val="edge"/>
              <c:yMode val="edge"/>
              <c:x val="0.36996937882764652"/>
              <c:y val="0.7990922041824417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pl-PL"/>
          </a:p>
        </c:txPr>
        <c:crossAx val="557770816"/>
        <c:crosses val="autoZero"/>
        <c:auto val="1"/>
        <c:lblAlgn val="ctr"/>
        <c:lblOffset val="100"/>
        <c:noMultiLvlLbl val="0"/>
      </c:catAx>
      <c:valAx>
        <c:axId val="557770816"/>
        <c:scaling>
          <c:orientation val="minMax"/>
          <c:max val="0"/>
          <c:min val="-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Zakumulowany koszt [PLN]</a:t>
                </a:r>
              </a:p>
            </c:rich>
          </c:tx>
          <c:layout>
            <c:manualLayout>
              <c:xMode val="edge"/>
              <c:yMode val="edge"/>
              <c:x val="5.5555555555555558E-3"/>
              <c:y val="0.1799150659264936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/>
            </a:pPr>
            <a:endParaRPr lang="pl-PL"/>
          </a:p>
        </c:txPr>
        <c:crossAx val="557779832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8399049550624352E-2"/>
          <c:y val="0.8625647457784591"/>
          <c:w val="0.95431281317108085"/>
          <c:h val="0.12173677405368577"/>
        </c:manualLayout>
      </c:layout>
      <c:overlay val="0"/>
      <c:spPr>
        <a:noFill/>
        <a:ln w="25400">
          <a:noFill/>
        </a:ln>
      </c:sp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 sz="700"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>
                <a:solidFill>
                  <a:sysClr val="windowText" lastClr="000000"/>
                </a:solidFill>
              </a:rPr>
              <a:t>Porównanie kosztów inwestycyjnych bez dotacji [PLN]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5796751173470036E-2"/>
          <c:y val="0.32770095647553255"/>
          <c:w val="0.9186971876349912"/>
          <c:h val="0.50718020868557068"/>
        </c:manualLayout>
      </c:layout>
      <c:barChart>
        <c:barDir val="col"/>
        <c:grouping val="stacked"/>
        <c:varyColors val="0"/>
        <c:ser>
          <c:idx val="8"/>
          <c:order val="0"/>
          <c:tx>
            <c:strRef>
              <c:f>Zestawienie!$A$68</c:f>
              <c:strCache>
                <c:ptCount val="1"/>
                <c:pt idx="0">
                  <c:v>Koszty instalacji c.o. 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Zestawienie!$B$68:$H$68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4C-4553-B0F9-55FD584B67F0}"/>
            </c:ext>
          </c:extLst>
        </c:ser>
        <c:ser>
          <c:idx val="3"/>
          <c:order val="1"/>
          <c:tx>
            <c:strRef>
              <c:f>Zestawienie!$A$64</c:f>
              <c:strCache>
                <c:ptCount val="1"/>
                <c:pt idx="0">
                  <c:v>Kocioł z osprzętem, montażem i uruchomieniem</c:v>
                </c:pt>
              </c:strCache>
            </c:strRef>
          </c:tx>
          <c:spPr>
            <a:solidFill>
              <a:srgbClr val="9900FF"/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C54C-4553-B0F9-55FD584B67F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Zestawienie!$B$64:$H$64</c:f>
              <c:numCache>
                <c:formatCode>#,##0</c:formatCode>
                <c:ptCount val="7"/>
                <c:pt idx="0">
                  <c:v>10000</c:v>
                </c:pt>
                <c:pt idx="1">
                  <c:v>0</c:v>
                </c:pt>
                <c:pt idx="2">
                  <c:v>14000</c:v>
                </c:pt>
                <c:pt idx="3">
                  <c:v>5500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4C-4553-B0F9-55FD584B67F0}"/>
            </c:ext>
          </c:extLst>
        </c:ser>
        <c:ser>
          <c:idx val="5"/>
          <c:order val="2"/>
          <c:tx>
            <c:strRef>
              <c:f>Zestawienie!$A$66</c:f>
              <c:strCache>
                <c:ptCount val="1"/>
                <c:pt idx="0">
                  <c:v>Pompa ciepła z montażem</c:v>
                </c:pt>
              </c:strCache>
            </c:strRef>
          </c:tx>
          <c:spPr>
            <a:solidFill>
              <a:srgbClr val="ED7D31"/>
            </a:solidFill>
            <a:ln w="3175">
              <a:solidFill>
                <a:schemeClr val="tx1"/>
              </a:solidFill>
            </a:ln>
          </c:spPr>
          <c:invertIfNegative val="0"/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Zestawienie!$B$66:$H$66</c:f>
              <c:numCache>
                <c:formatCode>#,##0</c:formatCode>
                <c:ptCount val="7"/>
                <c:pt idx="1">
                  <c:v>45000</c:v>
                </c:pt>
                <c:pt idx="3">
                  <c:v>0</c:v>
                </c:pt>
                <c:pt idx="4">
                  <c:v>28000</c:v>
                </c:pt>
                <c:pt idx="5">
                  <c:v>28000</c:v>
                </c:pt>
                <c:pt idx="6">
                  <c:v>28000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4C-4553-B0F9-55FD584B67F0}"/>
            </c:ext>
          </c:extLst>
        </c:ser>
        <c:ser>
          <c:idx val="1"/>
          <c:order val="3"/>
          <c:tx>
            <c:strRef>
              <c:f>Zestawienie!$A$62</c:f>
              <c:strCache>
                <c:ptCount val="1"/>
                <c:pt idx="0">
                  <c:v>Instalacja kolektorów słonecznych, paneli PV lub chłodzenia</c:v>
                </c:pt>
              </c:strCache>
            </c:strRef>
          </c:tx>
          <c:spPr>
            <a:solidFill>
              <a:schemeClr val="accent5"/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C54C-4553-B0F9-55FD584B67F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Zestawienie!$B$62:$H$62</c:f>
              <c:numCache>
                <c:formatCode>#,##0</c:formatCode>
                <c:ptCount val="7"/>
                <c:pt idx="0">
                  <c:v>6000</c:v>
                </c:pt>
                <c:pt idx="1">
                  <c:v>0</c:v>
                </c:pt>
                <c:pt idx="2">
                  <c:v>6000</c:v>
                </c:pt>
                <c:pt idx="3">
                  <c:v>6000</c:v>
                </c:pt>
                <c:pt idx="4">
                  <c:v>15981.666666666666</c:v>
                </c:pt>
                <c:pt idx="5">
                  <c:v>0</c:v>
                </c:pt>
                <c:pt idx="6">
                  <c:v>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4C-4553-B0F9-55FD584B67F0}"/>
            </c:ext>
          </c:extLst>
        </c:ser>
        <c:ser>
          <c:idx val="2"/>
          <c:order val="4"/>
          <c:tx>
            <c:strRef>
              <c:f>Zestawienie!$A$63</c:f>
              <c:strCache>
                <c:ptCount val="1"/>
                <c:pt idx="0">
                  <c:v>Komin lub przewód powietrzno-spalinowy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C54C-4553-B0F9-55FD584B67F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54C-4553-B0F9-55FD584B67F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Zestawienie!$B$63:$H$63</c:f>
              <c:numCache>
                <c:formatCode>#,##0</c:formatCode>
                <c:ptCount val="7"/>
                <c:pt idx="0">
                  <c:v>3000</c:v>
                </c:pt>
                <c:pt idx="1">
                  <c:v>0</c:v>
                </c:pt>
                <c:pt idx="2">
                  <c:v>4000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54C-4553-B0F9-55FD584B67F0}"/>
            </c:ext>
          </c:extLst>
        </c:ser>
        <c:ser>
          <c:idx val="4"/>
          <c:order val="5"/>
          <c:tx>
            <c:strRef>
              <c:f>Zestawienie!$A$65</c:f>
              <c:strCache>
                <c:ptCount val="1"/>
                <c:pt idx="0">
                  <c:v>Sieć i instalacja gazowa</c:v>
                </c:pt>
              </c:strCache>
            </c:strRef>
          </c:tx>
          <c:spPr>
            <a:solidFill>
              <a:srgbClr val="FFFF00"/>
            </a:solidFill>
            <a:ln w="3175">
              <a:solidFill>
                <a:schemeClr val="tx1"/>
              </a:solidFill>
            </a:ln>
          </c:spPr>
          <c:invertIfNegative val="0"/>
          <c:dLbls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54C-4553-B0F9-55FD584B67F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ysClr val="windowText" lastClr="000000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Zestawienie!$B$65:$H$65</c:f>
              <c:numCache>
                <c:formatCode>#,##0</c:formatCode>
                <c:ptCount val="7"/>
                <c:pt idx="0">
                  <c:v>7000</c:v>
                </c:pt>
                <c:pt idx="1">
                  <c:v>7000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54C-4553-B0F9-55FD584B67F0}"/>
            </c:ext>
          </c:extLst>
        </c:ser>
        <c:ser>
          <c:idx val="6"/>
          <c:order val="6"/>
          <c:tx>
            <c:strRef>
              <c:f>Zestawienie!$A$67</c:f>
              <c:strCache>
                <c:ptCount val="1"/>
                <c:pt idx="0">
                  <c:v>Dolne źródło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 w="3175">
              <a:solidFill>
                <a:schemeClr val="tx1"/>
              </a:solidFill>
            </a:ln>
            <a:effectLst/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Zestawienie!$B$67:$H$67</c:f>
              <c:numCache>
                <c:formatCode>#,##0</c:formatCode>
                <c:ptCount val="7"/>
                <c:pt idx="6">
                  <c:v>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54C-4553-B0F9-55FD584B67F0}"/>
            </c:ext>
          </c:extLst>
        </c:ser>
        <c:ser>
          <c:idx val="0"/>
          <c:order val="7"/>
          <c:tx>
            <c:strRef>
              <c:f>Zestawienie!$A$61</c:f>
              <c:strCache>
                <c:ptCount val="1"/>
                <c:pt idx="0">
                  <c:v>Magazyn opału</c:v>
                </c:pt>
              </c:strCache>
            </c:strRef>
          </c:tx>
          <c:spPr>
            <a:solidFill>
              <a:srgbClr val="5B9BD5"/>
            </a:solidFill>
            <a:ln w="3175">
              <a:solidFill>
                <a:sysClr val="windowText" lastClr="000000"/>
              </a:solidFill>
            </a:ln>
          </c:spPr>
          <c:invertIfNegative val="0"/>
          <c:dLbls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"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Zestawienie!$B$59:$H$59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Zestawienie!$B$61:$H$61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54C-4553-B0F9-55FD584B67F0}"/>
            </c:ext>
          </c:extLst>
        </c:ser>
        <c:ser>
          <c:idx val="7"/>
          <c:order val="8"/>
          <c:tx>
            <c:strRef>
              <c:f>Zestawienie!$A$60</c:f>
              <c:strCache>
                <c:ptCount val="1"/>
                <c:pt idx="0">
                  <c:v>Pomieszczenie kotła,</c:v>
                </c:pt>
              </c:strCache>
            </c:strRef>
          </c:tx>
          <c:spPr>
            <a:solidFill>
              <a:srgbClr val="FF5050"/>
            </a:solidFill>
            <a:ln w="3175">
              <a:solidFill>
                <a:schemeClr val="tx1"/>
              </a:solidFill>
            </a:ln>
          </c:spPr>
          <c:invertIfNegative val="0"/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54C-4553-B0F9-55FD584B67F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C54C-4553-B0F9-55FD584B67F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C54C-4553-B0F9-55FD584B67F0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C54C-4553-B0F9-55FD584B67F0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54C-4553-B0F9-55FD584B67F0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54C-4553-B0F9-55FD584B67F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Zestawienie!$B$60:$H$60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16000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54C-4553-B0F9-55FD584B67F0}"/>
            </c:ext>
          </c:extLst>
        </c:ser>
        <c:ser>
          <c:idx val="9"/>
          <c:order val="9"/>
          <c:tx>
            <c:strRef>
              <c:f>Zestawienie!$A$69</c:f>
              <c:strCache>
                <c:ptCount val="1"/>
                <c:pt idx="0">
                  <c:v>Dotacja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val>
            <c:numRef>
              <c:f>Zestawienie!$B$69:$H$69</c:f>
              <c:numCache>
                <c:formatCode>#,##0</c:formatCode>
                <c:ptCount val="7"/>
                <c:pt idx="0">
                  <c:v>-5100</c:v>
                </c:pt>
                <c:pt idx="1">
                  <c:v>-13500</c:v>
                </c:pt>
                <c:pt idx="2">
                  <c:v>-5400</c:v>
                </c:pt>
                <c:pt idx="3">
                  <c:v>-1650</c:v>
                </c:pt>
                <c:pt idx="4">
                  <c:v>-13194.499999999998</c:v>
                </c:pt>
                <c:pt idx="5">
                  <c:v>-8400</c:v>
                </c:pt>
                <c:pt idx="6">
                  <c:v>-13800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9B-4540-8363-31E3B53C9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57777480"/>
        <c:axId val="557772384"/>
      </c:barChart>
      <c:catAx>
        <c:axId val="557777480"/>
        <c:scaling>
          <c:orientation val="minMax"/>
        </c:scaling>
        <c:delete val="0"/>
        <c:axPos val="t"/>
        <c:majorGridlines>
          <c:spPr>
            <a:ln>
              <a:solidFill>
                <a:schemeClr val="bg1">
                  <a:lumMod val="50000"/>
                </a:schemeClr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72384"/>
        <c:crosses val="max"/>
        <c:auto val="1"/>
        <c:lblAlgn val="ctr"/>
        <c:lblOffset val="100"/>
        <c:noMultiLvlLbl val="0"/>
      </c:catAx>
      <c:valAx>
        <c:axId val="557772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5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77480"/>
        <c:crosses val="autoZero"/>
        <c:crossBetween val="between"/>
      </c:valAx>
      <c:spPr>
        <a:solidFill>
          <a:schemeClr val="bg1">
            <a:lumMod val="95000"/>
          </a:schemeClr>
        </a:solidFill>
        <a:ln w="25400">
          <a:noFill/>
        </a:ln>
      </c:spPr>
    </c:plotArea>
    <c:legend>
      <c:legendPos val="b"/>
      <c:legendEntry>
        <c:idx val="0"/>
        <c:delete val="1"/>
      </c:legendEntry>
      <c:layout>
        <c:manualLayout>
          <c:xMode val="edge"/>
          <c:yMode val="edge"/>
          <c:x val="6.8121684708635985E-3"/>
          <c:y val="0.85177306249295526"/>
          <c:w val="0.98717260503987891"/>
          <c:h val="0.14055822585060304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pl-PL" sz="1600" b="1" i="0" baseline="0">
                <a:effectLst/>
                <a:latin typeface="+mn-lt"/>
              </a:rPr>
              <a:t>Całkowite koszty roczne wg PORTPC cz. 6 (VDI 2067)</a:t>
            </a:r>
            <a:endParaRPr lang="pl-PL" sz="1600">
              <a:effectLst/>
              <a:latin typeface="+mn-lt"/>
            </a:endParaRPr>
          </a:p>
        </c:rich>
      </c:tx>
      <c:layout>
        <c:manualLayout>
          <c:xMode val="edge"/>
          <c:yMode val="edge"/>
          <c:x val="0.23381166949507035"/>
          <c:y val="4.228648856116028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5650977153867334E-2"/>
          <c:y val="0.13576521260634275"/>
          <c:w val="0.85264222752502761"/>
          <c:h val="0.6698284852502742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Zestawienie!$A$54</c:f>
              <c:strCache>
                <c:ptCount val="1"/>
                <c:pt idx="0">
                  <c:v>Koszty kapitałowe</c:v>
                </c:pt>
              </c:strCache>
            </c:strRef>
          </c:tx>
          <c:spPr>
            <a:solidFill>
              <a:srgbClr val="0070C0"/>
            </a:solidFill>
            <a:ln w="3175">
              <a:solidFill>
                <a:sysClr val="windowText" lastClr="000000"/>
              </a:solidFill>
              <a:prstDash val="solid"/>
            </a:ln>
          </c:spPr>
          <c:invertIfNegative val="0"/>
          <c:dLbls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25" b="1" i="0" u="none" strike="noStrike" baseline="0">
                    <a:solidFill>
                      <a:srgbClr val="FFFFFF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Zestawienie!$B$54:$H$54</c:f>
              <c:numCache>
                <c:formatCode>#,##0</c:formatCode>
                <c:ptCount val="7"/>
                <c:pt idx="0">
                  <c:v>1317.9235240782787</c:v>
                </c:pt>
                <c:pt idx="1">
                  <c:v>2291.5336705293435</c:v>
                </c:pt>
                <c:pt idx="2">
                  <c:v>2012.3937822970147</c:v>
                </c:pt>
                <c:pt idx="3">
                  <c:v>729.17241179906932</c:v>
                </c:pt>
                <c:pt idx="4">
                  <c:v>1993.6116941486903</c:v>
                </c:pt>
                <c:pt idx="5">
                  <c:v>1269.1908166924852</c:v>
                </c:pt>
                <c:pt idx="6">
                  <c:v>1653.2712287041027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3D-46D8-8758-304E3524EB62}"/>
            </c:ext>
          </c:extLst>
        </c:ser>
        <c:ser>
          <c:idx val="1"/>
          <c:order val="1"/>
          <c:tx>
            <c:strRef>
              <c:f>Zestawienie!$A$55</c:f>
              <c:strCache>
                <c:ptCount val="1"/>
                <c:pt idx="0">
                  <c:v>Koszty zużycia energii</c:v>
                </c:pt>
              </c:strCache>
            </c:strRef>
          </c:tx>
          <c:spPr>
            <a:solidFill>
              <a:srgbClr val="FF808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BB3D-46D8-8758-304E3524EB62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3D-46D8-8758-304E3524EB62}"/>
                </c:ext>
              </c:extLst>
            </c:dLbl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Zestawienie!$B$55:$H$55</c:f>
              <c:numCache>
                <c:formatCode>#,##0</c:formatCode>
                <c:ptCount val="7"/>
                <c:pt idx="0">
                  <c:v>2214.6943550955411</c:v>
                </c:pt>
                <c:pt idx="1">
                  <c:v>1795.2354650744437</c:v>
                </c:pt>
                <c:pt idx="2">
                  <c:v>1765.7878539941221</c:v>
                </c:pt>
                <c:pt idx="3">
                  <c:v>4716.2428577736109</c:v>
                </c:pt>
                <c:pt idx="4">
                  <c:v>0</c:v>
                </c:pt>
                <c:pt idx="5">
                  <c:v>1430.7396825396825</c:v>
                </c:pt>
                <c:pt idx="6">
                  <c:v>1179.6626984126983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3D-46D8-8758-304E3524EB62}"/>
            </c:ext>
          </c:extLst>
        </c:ser>
        <c:ser>
          <c:idx val="2"/>
          <c:order val="2"/>
          <c:tx>
            <c:strRef>
              <c:f>Zestawienie!$A$56</c:f>
              <c:strCache>
                <c:ptCount val="1"/>
                <c:pt idx="0">
                  <c:v>Koszty obsługi, serwisu i napraw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1" i="0" u="none" strike="noStrike" baseline="0">
                    <a:solidFill>
                      <a:schemeClr val="bg1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Zestawienie!$B$56:$H$56</c:f>
              <c:numCache>
                <c:formatCode>#,##0</c:formatCode>
                <c:ptCount val="7"/>
                <c:pt idx="0">
                  <c:v>300</c:v>
                </c:pt>
                <c:pt idx="1">
                  <c:v>675</c:v>
                </c:pt>
                <c:pt idx="2">
                  <c:v>480</c:v>
                </c:pt>
                <c:pt idx="3">
                  <c:v>82.5</c:v>
                </c:pt>
                <c:pt idx="4">
                  <c:v>879.63333333333333</c:v>
                </c:pt>
                <c:pt idx="5">
                  <c:v>420</c:v>
                </c:pt>
                <c:pt idx="6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3D-46D8-8758-304E3524EB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57770424"/>
        <c:axId val="557778264"/>
      </c:barChart>
      <c:catAx>
        <c:axId val="5577704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8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78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 sz="1400"/>
                  <a:t>Całkowity koszt roczny w PLN/rok</a:t>
                </a:r>
              </a:p>
            </c:rich>
          </c:tx>
          <c:layout>
            <c:manualLayout>
              <c:xMode val="edge"/>
              <c:yMode val="edge"/>
              <c:x val="1.0036823431753111E-2"/>
              <c:y val="0.196524538937802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0424"/>
        <c:crosses val="autoZero"/>
        <c:crossBetween val="between"/>
        <c:majorUnit val="1000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399546154996527"/>
          <c:y val="0.14322586523065711"/>
          <c:w val="0.24719760463468077"/>
          <c:h val="0.10834467331170017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6350">
      <a:solidFill>
        <a:schemeClr val="tx1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pl-PL" sz="1600">
                <a:latin typeface="+mn-lt"/>
              </a:rPr>
              <a:t>Całkowite</a:t>
            </a:r>
            <a:r>
              <a:rPr lang="pl-PL" sz="1600" baseline="0">
                <a:latin typeface="+mn-lt"/>
              </a:rPr>
              <a:t> </a:t>
            </a:r>
            <a:r>
              <a:rPr lang="pl-PL" sz="1600">
                <a:latin typeface="+mn-lt"/>
              </a:rPr>
              <a:t>koszty roczne wg PORTPC cz. 6 (VDI 2067)</a:t>
            </a:r>
          </a:p>
        </c:rich>
      </c:tx>
      <c:layout>
        <c:manualLayout>
          <c:xMode val="edge"/>
          <c:yMode val="edge"/>
          <c:x val="0.25330189714878798"/>
          <c:y val="4.78296648562493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9951698052952509E-2"/>
          <c:y val="0.17755960146946662"/>
          <c:w val="0.89929672764288493"/>
          <c:h val="0.58795295259200009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 w="3175">
              <a:solidFill>
                <a:schemeClr val="tx1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4"/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3CE-4C5C-8866-BBA8D8F3BF64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3CE-4C5C-8866-BBA8D8F3BF64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3CE-4C5C-8866-BBA8D8F3BF6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3CE-4C5C-8866-BBA8D8F3BF64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3CE-4C5C-8866-BBA8D8F3BF64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3CE-4C5C-8866-BBA8D8F3BF64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/>
              </a:solidFill>
              <a:ln w="3175">
                <a:solidFill>
                  <a:schemeClr val="tx1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3CE-4C5C-8866-BBA8D8F3BF64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Zestawienie!$B$48:$H$48</c:f>
              <c:numCache>
                <c:formatCode>#,##0</c:formatCode>
                <c:ptCount val="7"/>
                <c:pt idx="0">
                  <c:v>3832.6178791738198</c:v>
                </c:pt>
                <c:pt idx="1">
                  <c:v>4761.7691356037867</c:v>
                </c:pt>
                <c:pt idx="2">
                  <c:v>4258.1816362911368</c:v>
                </c:pt>
                <c:pt idx="3">
                  <c:v>5527.9152695726807</c:v>
                </c:pt>
                <c:pt idx="4">
                  <c:v>2873.2450274820235</c:v>
                </c:pt>
                <c:pt idx="5">
                  <c:v>3119.9304992321677</c:v>
                </c:pt>
                <c:pt idx="6">
                  <c:v>3252.933927116801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3CE-4C5C-8866-BBA8D8F3B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90"/>
        <c:axId val="557771208"/>
        <c:axId val="557778656"/>
      </c:barChart>
      <c:catAx>
        <c:axId val="55777120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786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 sz="1400" b="1"/>
                  <a:t>Całkowite koszty roczne [PLN/rok]</a:t>
                </a:r>
              </a:p>
            </c:rich>
          </c:tx>
          <c:layout>
            <c:manualLayout>
              <c:xMode val="edge"/>
              <c:yMode val="edge"/>
              <c:x val="1.3744299072882049E-2"/>
              <c:y val="0.1223590863023310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1208"/>
        <c:crosses val="autoZero"/>
        <c:crossBetween val="between"/>
        <c:majorUnit val="2000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chemeClr val="bg1"/>
    </a:solidFill>
    <a:ln w="6350">
      <a:solidFill>
        <a:sysClr val="windowText" lastClr="000000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7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l-PL"/>
              <a:t>Względne, całkowite koszty roczne</a:t>
            </a:r>
          </a:p>
        </c:rich>
      </c:tx>
      <c:layout>
        <c:manualLayout>
          <c:xMode val="edge"/>
          <c:yMode val="edge"/>
          <c:x val="0.30189061114877197"/>
          <c:y val="3.88258168759832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4623032311516157E-2"/>
          <c:y val="0.14402173913043476"/>
          <c:w val="0.92543496271748138"/>
          <c:h val="0.6759607641374373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8080FF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9B6-4D9B-860D-B83EA68913C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9B6-4D9B-860D-B83EA68913C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75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39B6-4D9B-860D-B83EA68913C1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39B6-4D9B-860D-B83EA68913C1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39B6-4D9B-860D-B83EA68913C1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39B6-4D9B-860D-B83EA68913C1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6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D-39B6-4D9B-860D-B83EA68913C1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3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Zestawienie!$B$80:$H$80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Zestawienie!$B$81:$H$81</c:f>
              <c:numCache>
                <c:formatCode>0%</c:formatCode>
                <c:ptCount val="7"/>
                <c:pt idx="0">
                  <c:v>1.3338987251402452</c:v>
                </c:pt>
                <c:pt idx="1">
                  <c:v>1.6572791704356578</c:v>
                </c:pt>
                <c:pt idx="2">
                  <c:v>1.4820113131885611</c:v>
                </c:pt>
                <c:pt idx="3">
                  <c:v>1.9239275511483562</c:v>
                </c:pt>
                <c:pt idx="4">
                  <c:v>1</c:v>
                </c:pt>
                <c:pt idx="5">
                  <c:v>1.0858560510470379</c:v>
                </c:pt>
                <c:pt idx="6">
                  <c:v>1.1321463696980689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B6-4D9B-860D-B83EA68913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57774344"/>
        <c:axId val="557780616"/>
      </c:barChart>
      <c:catAx>
        <c:axId val="5577743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80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806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4344"/>
        <c:crosses val="autoZero"/>
        <c:crossBetween val="between"/>
      </c:valAx>
      <c:spPr>
        <a:solidFill>
          <a:schemeClr val="bg1"/>
        </a:solidFill>
        <a:ln w="3175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ysClr val="window" lastClr="FFFFFF"/>
    </a:solidFill>
    <a:ln w="6350">
      <a:solidFill>
        <a:sysClr val="windowText" lastClr="000000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r>
              <a:rPr lang="pl-PL" sz="1600">
                <a:latin typeface="+mn-lt"/>
              </a:rPr>
              <a:t>Porównanie rocznych kosztów eksploatacyjnych systemów grzewczych </a:t>
            </a:r>
          </a:p>
        </c:rich>
      </c:tx>
      <c:layout>
        <c:manualLayout>
          <c:xMode val="edge"/>
          <c:yMode val="edge"/>
          <c:x val="0.18052822904297872"/>
          <c:y val="4.90490208290991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76156583629892"/>
          <c:y val="0.14431354890530493"/>
          <c:w val="0.87989323843416367"/>
          <c:h val="0.6560635609403313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Zestawienie!$A$55</c:f>
              <c:strCache>
                <c:ptCount val="1"/>
                <c:pt idx="0">
                  <c:v>Koszty zużycia energii</c:v>
                </c:pt>
              </c:strCache>
            </c:strRef>
          </c:tx>
          <c:spPr>
            <a:solidFill>
              <a:srgbClr val="FF8080"/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CF31-4D6D-9598-267F3439AA0B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A6-4D9E-8178-014F90D234C4}"/>
                </c:ext>
              </c:extLst>
            </c:dLbl>
            <c:numFmt formatCode="0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Zestawienie!$B$45:$H$45</c:f>
              <c:strCache>
                <c:ptCount val="7"/>
                <c:pt idx="0">
                  <c:v>Kocioł gazowy, kondensacyjny o spr. 87%    Wariant A</c:v>
                </c:pt>
                <c:pt idx="1">
                  <c:v>Gazowa pompa ciepła z wsp.  SPER 124%    Wariant B</c:v>
                </c:pt>
                <c:pt idx="2">
                  <c:v>Kocioł na pelet o spr. 83%  Wariant C</c:v>
                </c:pt>
                <c:pt idx="3">
                  <c:v>Kocioł elektryczny o spr. 94%    Wariant D</c:v>
                </c:pt>
                <c:pt idx="4">
                  <c:v>PV 3,3 kWp + Pompa c. P/W o SCOP=3,45  Wariant E</c:v>
                </c:pt>
                <c:pt idx="5">
                  <c:v>Powietrzna pompa ciepła o SCOP = 3,45  Wariant F</c:v>
                </c:pt>
                <c:pt idx="6">
                  <c:v>Gruntowa pompa ciepła o SCOP = 3,75  Wariant G</c:v>
                </c:pt>
              </c:strCache>
            </c:strRef>
          </c:cat>
          <c:val>
            <c:numRef>
              <c:f>Zestawienie!$B$55:$H$55</c:f>
              <c:numCache>
                <c:formatCode>#,##0</c:formatCode>
                <c:ptCount val="7"/>
                <c:pt idx="0">
                  <c:v>2214.6943550955411</c:v>
                </c:pt>
                <c:pt idx="1">
                  <c:v>1795.2354650744437</c:v>
                </c:pt>
                <c:pt idx="2">
                  <c:v>1765.7878539941221</c:v>
                </c:pt>
                <c:pt idx="3">
                  <c:v>4716.2428577736109</c:v>
                </c:pt>
                <c:pt idx="4">
                  <c:v>0</c:v>
                </c:pt>
                <c:pt idx="5">
                  <c:v>1430.7396825396825</c:v>
                </c:pt>
                <c:pt idx="6">
                  <c:v>1179.6626984126983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F31-4D6D-9598-267F3439AA0B}"/>
            </c:ext>
          </c:extLst>
        </c:ser>
        <c:ser>
          <c:idx val="2"/>
          <c:order val="1"/>
          <c:tx>
            <c:strRef>
              <c:f>Zestawienie!$A$56</c:f>
              <c:strCache>
                <c:ptCount val="1"/>
                <c:pt idx="0">
                  <c:v>Koszty obsługi, serwisu i napraw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3175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75" b="1" i="0" u="none" strike="noStrike" baseline="0">
                    <a:solidFill>
                      <a:sysClr val="windowText" lastClr="000000"/>
                    </a:solidFill>
                    <a:latin typeface="Arial"/>
                    <a:ea typeface="Arial"/>
                    <a:cs typeface="Arial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Zestawienie!$B$56:$H$56</c:f>
              <c:numCache>
                <c:formatCode>#,##0</c:formatCode>
                <c:ptCount val="7"/>
                <c:pt idx="0">
                  <c:v>300</c:v>
                </c:pt>
                <c:pt idx="1">
                  <c:v>675</c:v>
                </c:pt>
                <c:pt idx="2">
                  <c:v>480</c:v>
                </c:pt>
                <c:pt idx="3">
                  <c:v>82.5</c:v>
                </c:pt>
                <c:pt idx="4">
                  <c:v>879.63333333333333</c:v>
                </c:pt>
                <c:pt idx="5">
                  <c:v>420</c:v>
                </c:pt>
                <c:pt idx="6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31-4D6D-9598-267F3439AA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557775912"/>
        <c:axId val="557781008"/>
      </c:barChart>
      <c:catAx>
        <c:axId val="55777591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8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557781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5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l-PL"/>
                  <a:t>koszt roczny w PLN/rok</a:t>
                </a:r>
              </a:p>
            </c:rich>
          </c:tx>
          <c:layout>
            <c:manualLayout>
              <c:xMode val="edge"/>
              <c:yMode val="edge"/>
              <c:x val="1.7224437088582123E-2"/>
              <c:y val="0.1737299188220667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557775912"/>
        <c:crosses val="autoZero"/>
        <c:crossBetween val="between"/>
        <c:majorUnit val="1000"/>
      </c:valAx>
      <c:spPr>
        <a:solidFill>
          <a:schemeClr val="bg1">
            <a:lumMod val="9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8356362784053848"/>
          <c:y val="0.19371744553602624"/>
          <c:w val="0.29330487543311501"/>
          <c:h val="8.021338663936358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6350">
      <a:solidFill>
        <a:sysClr val="windowText" lastClr="000000"/>
      </a:solidFill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000" b="1">
                <a:solidFill>
                  <a:sysClr val="windowText" lastClr="000000"/>
                </a:solidFill>
              </a:rPr>
              <a:t>Prosty okres zwrotu</a:t>
            </a:r>
            <a:r>
              <a:rPr lang="pl-PL" sz="1000" b="1" baseline="0">
                <a:solidFill>
                  <a:sysClr val="windowText" lastClr="000000"/>
                </a:solidFill>
              </a:rPr>
              <a:t> dod. nakładu inwestycyjnego PC P/W (w. F)  
w odniesieniu do gazowego kotła kondensacyjnego (wariant A)       </a:t>
            </a:r>
            <a:endParaRPr lang="pl-PL" sz="10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4503503288664726"/>
          <c:y val="3.748108692295815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65143693531199"/>
          <c:y val="0.21638590417484677"/>
          <c:w val="0.83669413772258061"/>
          <c:h val="0.53315495415619962"/>
        </c:manualLayout>
      </c:layout>
      <c:scatterChart>
        <c:scatterStyle val="smoothMarker"/>
        <c:varyColors val="0"/>
        <c:ser>
          <c:idx val="0"/>
          <c:order val="0"/>
          <c:tx>
            <c:v>Okres zwrotu dodatkowego nakładu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5"/>
              <c:numFmt formatCode="#,##0.0" sourceLinked="0"/>
              <c:spPr>
                <a:solidFill>
                  <a:sysClr val="window" lastClr="FFFFFF"/>
                </a:solidFill>
                <a:ln w="12700">
                  <a:solidFill>
                    <a:schemeClr val="tx1"/>
                  </a:solidFill>
                  <a:prstDash val="solid"/>
                </a:ln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CA4-41E2-97E0-5A25593A5EC8}"/>
                </c:ext>
              </c:extLst>
            </c:dLbl>
            <c:numFmt formatCode="#,##0.0" sourceLinked="0"/>
            <c:spPr>
              <a:solidFill>
                <a:srgbClr val="ED7D31"/>
              </a:solidFill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Zestawienie!$D$101:$D$121</c:f>
              <c:numCache>
                <c:formatCode>#,##0</c:formatCode>
                <c:ptCount val="21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27</c:v>
                </c:pt>
                <c:pt idx="5">
                  <c:v>28</c:v>
                </c:pt>
                <c:pt idx="6">
                  <c:v>29</c:v>
                </c:pt>
                <c:pt idx="7">
                  <c:v>30</c:v>
                </c:pt>
                <c:pt idx="8">
                  <c:v>31</c:v>
                </c:pt>
                <c:pt idx="9">
                  <c:v>32</c:v>
                </c:pt>
                <c:pt idx="10">
                  <c:v>33</c:v>
                </c:pt>
                <c:pt idx="11">
                  <c:v>34</c:v>
                </c:pt>
                <c:pt idx="12">
                  <c:v>35</c:v>
                </c:pt>
                <c:pt idx="13">
                  <c:v>36</c:v>
                </c:pt>
                <c:pt idx="14">
                  <c:v>37</c:v>
                </c:pt>
                <c:pt idx="15">
                  <c:v>38</c:v>
                </c:pt>
                <c:pt idx="16">
                  <c:v>39</c:v>
                </c:pt>
                <c:pt idx="17">
                  <c:v>40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</c:numCache>
            </c:numRef>
          </c:xVal>
          <c:yVal>
            <c:numRef>
              <c:f>Zestawienie!$E$101:$E$121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1.0542888376783113</c:v>
                </c:pt>
                <c:pt idx="8">
                  <c:v>2.5604157486473276</c:v>
                </c:pt>
                <c:pt idx="9">
                  <c:v>4.0665426596163439</c:v>
                </c:pt>
                <c:pt idx="10">
                  <c:v>5.5726695705853597</c:v>
                </c:pt>
                <c:pt idx="11">
                  <c:v>7.0787964815543756</c:v>
                </c:pt>
                <c:pt idx="12">
                  <c:v>8.5849233925233914</c:v>
                </c:pt>
                <c:pt idx="13">
                  <c:v>10.091050303492407</c:v>
                </c:pt>
                <c:pt idx="14">
                  <c:v>11.597177214461423</c:v>
                </c:pt>
                <c:pt idx="15">
                  <c:v>13.103304125430441</c:v>
                </c:pt>
                <c:pt idx="16">
                  <c:v>14.609431036399457</c:v>
                </c:pt>
                <c:pt idx="17">
                  <c:v>16.115557947368472</c:v>
                </c:pt>
                <c:pt idx="18">
                  <c:v>17.621684858337488</c:v>
                </c:pt>
                <c:pt idx="19">
                  <c:v>19.127811769306504</c:v>
                </c:pt>
                <c:pt idx="20">
                  <c:v>20.63393868027552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CA4-41E2-97E0-5A25593A5EC8}"/>
            </c:ext>
          </c:extLst>
        </c:ser>
        <c:ser>
          <c:idx val="2"/>
          <c:order val="1"/>
          <c:tx>
            <c:v>Graniczny okres zwrotu 7 lat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Zestawienie!$D$101:$D$121</c:f>
              <c:numCache>
                <c:formatCode>#,##0</c:formatCode>
                <c:ptCount val="21"/>
                <c:pt idx="0">
                  <c:v>23</c:v>
                </c:pt>
                <c:pt idx="1">
                  <c:v>24</c:v>
                </c:pt>
                <c:pt idx="2">
                  <c:v>25</c:v>
                </c:pt>
                <c:pt idx="3">
                  <c:v>26</c:v>
                </c:pt>
                <c:pt idx="4">
                  <c:v>27</c:v>
                </c:pt>
                <c:pt idx="5">
                  <c:v>28</c:v>
                </c:pt>
                <c:pt idx="6">
                  <c:v>29</c:v>
                </c:pt>
                <c:pt idx="7">
                  <c:v>30</c:v>
                </c:pt>
                <c:pt idx="8">
                  <c:v>31</c:v>
                </c:pt>
                <c:pt idx="9">
                  <c:v>32</c:v>
                </c:pt>
                <c:pt idx="10">
                  <c:v>33</c:v>
                </c:pt>
                <c:pt idx="11">
                  <c:v>34</c:v>
                </c:pt>
                <c:pt idx="12">
                  <c:v>35</c:v>
                </c:pt>
                <c:pt idx="13">
                  <c:v>36</c:v>
                </c:pt>
                <c:pt idx="14">
                  <c:v>37</c:v>
                </c:pt>
                <c:pt idx="15">
                  <c:v>38</c:v>
                </c:pt>
                <c:pt idx="16">
                  <c:v>39</c:v>
                </c:pt>
                <c:pt idx="17">
                  <c:v>40</c:v>
                </c:pt>
                <c:pt idx="18">
                  <c:v>41</c:v>
                </c:pt>
                <c:pt idx="19">
                  <c:v>42</c:v>
                </c:pt>
                <c:pt idx="20">
                  <c:v>43</c:v>
                </c:pt>
              </c:numCache>
            </c:numRef>
          </c:xVal>
          <c:yVal>
            <c:numRef>
              <c:f>Zestawienie!$G$101:$G$121</c:f>
              <c:numCache>
                <c:formatCode>General</c:formatCode>
                <c:ptCount val="21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CA4-41E2-97E0-5A25593A5E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781400"/>
        <c:axId val="557769248"/>
      </c:scatterChart>
      <c:valAx>
        <c:axId val="557781400"/>
        <c:scaling>
          <c:orientation val="minMax"/>
          <c:max val="30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000" b="1">
                    <a:solidFill>
                      <a:srgbClr val="FF0000"/>
                    </a:solidFill>
                  </a:rPr>
                  <a:t>Koszt pompy ciepła z montażem w wariancie F,</a:t>
                </a:r>
                <a:r>
                  <a:rPr lang="pl-PL" sz="1000" b="1" baseline="0">
                    <a:solidFill>
                      <a:srgbClr val="FF0000"/>
                    </a:solidFill>
                  </a:rPr>
                  <a:t> </a:t>
                </a:r>
                <a:r>
                  <a:rPr lang="pl-PL" sz="1000" b="1">
                    <a:solidFill>
                      <a:srgbClr val="FF0000"/>
                    </a:solidFill>
                  </a:rPr>
                  <a:t>brutto [tys. zł]</a:t>
                </a:r>
              </a:p>
            </c:rich>
          </c:tx>
          <c:layout>
            <c:manualLayout>
              <c:xMode val="edge"/>
              <c:yMode val="edge"/>
              <c:x val="0.12860802961810353"/>
              <c:y val="0.8436054500540373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557769248"/>
        <c:crosses val="autoZero"/>
        <c:crossBetween val="midCat"/>
        <c:majorUnit val="1"/>
      </c:valAx>
      <c:valAx>
        <c:axId val="55776924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ysClr val="windowText" lastClr="000000"/>
                    </a:solidFill>
                  </a:rPr>
                  <a:t>Okres zwrotu nakładów [lata]</a:t>
                </a:r>
              </a:p>
            </c:rich>
          </c:tx>
          <c:layout>
            <c:manualLayout>
              <c:xMode val="edge"/>
              <c:yMode val="edge"/>
              <c:x val="1.7015877700125644E-2"/>
              <c:y val="0.1913648293963254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81400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3556855222739406E-2"/>
          <c:y val="0.90712637023313258"/>
          <c:w val="0.93644314477726065"/>
          <c:h val="8.8243785703257638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000" b="1">
                <a:solidFill>
                  <a:sysClr val="windowText" lastClr="000000"/>
                </a:solidFill>
              </a:rPr>
              <a:t>Prosty okres zwrotu</a:t>
            </a:r>
            <a:r>
              <a:rPr lang="pl-PL" sz="1000" b="1" baseline="0">
                <a:solidFill>
                  <a:sysClr val="windowText" lastClr="000000"/>
                </a:solidFill>
              </a:rPr>
              <a:t> dod. nakładu inwestycyjnego PC (w. F)  </a:t>
            </a:r>
            <a:r>
              <a:rPr lang="pl-PL" sz="1000" b="1" i="0" u="none" strike="noStrike" baseline="0">
                <a:effectLst/>
              </a:rPr>
              <a:t>
w odniesien</a:t>
            </a:r>
            <a:r>
              <a:rPr lang="pl-PL" sz="1000" b="1" baseline="0">
                <a:solidFill>
                  <a:sysClr val="windowText" lastClr="000000"/>
                </a:solidFill>
              </a:rPr>
              <a:t>iu do kotła elektrycznego (wariant D)    </a:t>
            </a:r>
            <a:endParaRPr lang="pl-PL" sz="10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6113710315320176"/>
          <c:y val="2.84090909090909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75260745468041"/>
          <c:y val="0.18867074181516785"/>
          <c:w val="0.83669413772258061"/>
          <c:h val="0.54804151125846112"/>
        </c:manualLayout>
      </c:layout>
      <c:scatterChart>
        <c:scatterStyle val="smoothMarker"/>
        <c:varyColors val="0"/>
        <c:ser>
          <c:idx val="0"/>
          <c:order val="0"/>
          <c:tx>
            <c:v>Z uwzględnieniem kosztów instalacji c.o.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6"/>
              <c:numFmt formatCode="#,##0.0" sourceLinked="0"/>
              <c:spPr>
                <a:solidFill>
                  <a:sysClr val="window" lastClr="FFFFFF"/>
                </a:solidFill>
                <a:ln w="12700"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3000-42CD-BAC6-47E2D621F8EE}"/>
                </c:ext>
              </c:extLst>
            </c:dLbl>
            <c:numFmt formatCode="#,##0.0" sourceLinked="0"/>
            <c:spPr>
              <a:solidFill>
                <a:srgbClr val="ED7D31"/>
              </a:solidFill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Zestawienie!$D$123:$D$142</c:f>
              <c:numCache>
                <c:formatCode>#,##0</c:formatCode>
                <c:ptCount val="20"/>
                <c:pt idx="0">
                  <c:v>22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28</c:v>
                </c:pt>
                <c:pt idx="7">
                  <c:v>29</c:v>
                </c:pt>
                <c:pt idx="8">
                  <c:v>30</c:v>
                </c:pt>
                <c:pt idx="9">
                  <c:v>31</c:v>
                </c:pt>
                <c:pt idx="10">
                  <c:v>32</c:v>
                </c:pt>
                <c:pt idx="11">
                  <c:v>33</c:v>
                </c:pt>
                <c:pt idx="12">
                  <c:v>34</c:v>
                </c:pt>
                <c:pt idx="13">
                  <c:v>35</c:v>
                </c:pt>
                <c:pt idx="14">
                  <c:v>36</c:v>
                </c:pt>
                <c:pt idx="15">
                  <c:v>37</c:v>
                </c:pt>
                <c:pt idx="16">
                  <c:v>38</c:v>
                </c:pt>
                <c:pt idx="17">
                  <c:v>39</c:v>
                </c:pt>
                <c:pt idx="18">
                  <c:v>40</c:v>
                </c:pt>
                <c:pt idx="19">
                  <c:v>41</c:v>
                </c:pt>
              </c:numCache>
            </c:numRef>
          </c:xVal>
          <c:yVal>
            <c:numRef>
              <c:f>Zestawienie!$E$123:$E$142</c:f>
              <c:numCache>
                <c:formatCode>General</c:formatCode>
                <c:ptCount val="20"/>
                <c:pt idx="0">
                  <c:v>1.2720474765779153</c:v>
                </c:pt>
                <c:pt idx="1">
                  <c:v>1.6112601369986925</c:v>
                </c:pt>
                <c:pt idx="2">
                  <c:v>1.95047279741947</c:v>
                </c:pt>
                <c:pt idx="3">
                  <c:v>2.2896854578402475</c:v>
                </c:pt>
                <c:pt idx="4">
                  <c:v>2.6288981182610249</c:v>
                </c:pt>
                <c:pt idx="5">
                  <c:v>2.968110778681802</c:v>
                </c:pt>
                <c:pt idx="6">
                  <c:v>3.3073234391025794</c:v>
                </c:pt>
                <c:pt idx="7">
                  <c:v>3.6465360995233569</c:v>
                </c:pt>
                <c:pt idx="8">
                  <c:v>3.9857487599441344</c:v>
                </c:pt>
                <c:pt idx="9">
                  <c:v>4.3249614203649118</c:v>
                </c:pt>
                <c:pt idx="10">
                  <c:v>4.6641740807856893</c:v>
                </c:pt>
                <c:pt idx="11">
                  <c:v>5.0033867412064668</c:v>
                </c:pt>
                <c:pt idx="12">
                  <c:v>5.3425994016272442</c:v>
                </c:pt>
                <c:pt idx="13">
                  <c:v>5.6818120620480217</c:v>
                </c:pt>
                <c:pt idx="14">
                  <c:v>6.0210247224687983</c:v>
                </c:pt>
                <c:pt idx="15">
                  <c:v>6.3602373828895757</c:v>
                </c:pt>
                <c:pt idx="16">
                  <c:v>6.6994500433103532</c:v>
                </c:pt>
                <c:pt idx="17">
                  <c:v>7.0386627037311307</c:v>
                </c:pt>
                <c:pt idx="18">
                  <c:v>7.3778753641519081</c:v>
                </c:pt>
                <c:pt idx="19">
                  <c:v>7.7170880245726856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00-42CD-BAC6-47E2D621F8EE}"/>
            </c:ext>
          </c:extLst>
        </c:ser>
        <c:ser>
          <c:idx val="2"/>
          <c:order val="1"/>
          <c:tx>
            <c:v>Graniczny okres zwrotu 7 lat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Zestawienie!$D$123:$D$142</c:f>
              <c:numCache>
                <c:formatCode>#,##0</c:formatCode>
                <c:ptCount val="20"/>
                <c:pt idx="0">
                  <c:v>22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28</c:v>
                </c:pt>
                <c:pt idx="7">
                  <c:v>29</c:v>
                </c:pt>
                <c:pt idx="8">
                  <c:v>30</c:v>
                </c:pt>
                <c:pt idx="9">
                  <c:v>31</c:v>
                </c:pt>
                <c:pt idx="10">
                  <c:v>32</c:v>
                </c:pt>
                <c:pt idx="11">
                  <c:v>33</c:v>
                </c:pt>
                <c:pt idx="12">
                  <c:v>34</c:v>
                </c:pt>
                <c:pt idx="13">
                  <c:v>35</c:v>
                </c:pt>
                <c:pt idx="14">
                  <c:v>36</c:v>
                </c:pt>
                <c:pt idx="15">
                  <c:v>37</c:v>
                </c:pt>
                <c:pt idx="16">
                  <c:v>38</c:v>
                </c:pt>
                <c:pt idx="17">
                  <c:v>39</c:v>
                </c:pt>
                <c:pt idx="18">
                  <c:v>40</c:v>
                </c:pt>
                <c:pt idx="19">
                  <c:v>41</c:v>
                </c:pt>
              </c:numCache>
            </c:numRef>
          </c:xVal>
          <c:yVal>
            <c:numRef>
              <c:f>Zestawienie!$G$123:$G$142</c:f>
              <c:numCache>
                <c:formatCode>General</c:formatCode>
                <c:ptCount val="20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000-42CD-BAC6-47E2D621F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771600"/>
        <c:axId val="557782184"/>
      </c:scatterChart>
      <c:valAx>
        <c:axId val="557771600"/>
        <c:scaling>
          <c:orientation val="minMax"/>
          <c:max val="30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rgbClr val="FF0000"/>
                    </a:solidFill>
                  </a:rPr>
                  <a:t>Koszt pompy ciepła z montażem w wariancie F,</a:t>
                </a:r>
                <a:r>
                  <a:rPr lang="pl-PL" b="1" baseline="0">
                    <a:solidFill>
                      <a:srgbClr val="FF0000"/>
                    </a:solidFill>
                  </a:rPr>
                  <a:t> </a:t>
                </a:r>
                <a:r>
                  <a:rPr lang="pl-PL" b="1">
                    <a:solidFill>
                      <a:srgbClr val="FF0000"/>
                    </a:solidFill>
                  </a:rPr>
                  <a:t>brutto [tys. zł]</a:t>
                </a:r>
              </a:p>
            </c:rich>
          </c:tx>
          <c:layout>
            <c:manualLayout>
              <c:xMode val="edge"/>
              <c:yMode val="edge"/>
              <c:x val="0.13222795994678749"/>
              <c:y val="0.8399953024337868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557782184"/>
        <c:crosses val="autoZero"/>
        <c:crossBetween val="midCat"/>
        <c:majorUnit val="1"/>
      </c:valAx>
      <c:valAx>
        <c:axId val="5577821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ysClr val="windowText" lastClr="000000"/>
                    </a:solidFill>
                  </a:rPr>
                  <a:t>Okres zwrotu nakładów [lata]</a:t>
                </a:r>
              </a:p>
            </c:rich>
          </c:tx>
          <c:layout>
            <c:manualLayout>
              <c:xMode val="edge"/>
              <c:yMode val="edge"/>
              <c:x val="1.4395022111962034E-2"/>
              <c:y val="0.1782897876401813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71600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3556834933304569E-2"/>
          <c:y val="0.90712650620377"/>
          <c:w val="0.93644316506669556"/>
          <c:h val="8.8243781317108083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900" b="1">
                <a:solidFill>
                  <a:sysClr val="windowText" lastClr="000000"/>
                </a:solidFill>
              </a:rPr>
              <a:t>Dodatkowy nakład inwestycyjny:</a:t>
            </a:r>
            <a:r>
              <a:rPr lang="pl-PL" sz="900" b="1" baseline="0">
                <a:solidFill>
                  <a:sysClr val="windowText" lastClr="000000"/>
                </a:solidFill>
              </a:rPr>
              <a:t> </a:t>
            </a:r>
            <a:r>
              <a:rPr lang="pl-PL" sz="900" b="1" i="0" u="none" strike="noStrike" baseline="0">
                <a:effectLst/>
              </a:rPr>
              <a:t>wariantu F
- P.C. P</a:t>
            </a:r>
            <a:r>
              <a:rPr lang="pl-PL" sz="900" b="1">
                <a:solidFill>
                  <a:sysClr val="windowText" lastClr="000000"/>
                </a:solidFill>
              </a:rPr>
              <a:t>/W  w stosunku do innych wariantów [PLN]</a:t>
            </a:r>
          </a:p>
        </c:rich>
      </c:tx>
      <c:layout>
        <c:manualLayout>
          <c:xMode val="edge"/>
          <c:yMode val="edge"/>
          <c:x val="9.8379629629629636E-2"/>
          <c:y val="2.50626566416040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42617563429571304"/>
          <c:y val="0.33156858682138418"/>
          <c:w val="0.50208667492952275"/>
          <c:h val="0.6308374282162098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bg2">
                <a:lumMod val="50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A95-46BA-8053-B899200BCCCD}"/>
              </c:ext>
            </c:extLst>
          </c:dPt>
          <c:dPt>
            <c:idx val="1"/>
            <c:invertIfNegative val="0"/>
            <c:bubble3D val="0"/>
            <c:spPr>
              <a:solidFill>
                <a:srgbClr val="FFCCFF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8A95-46BA-8053-B899200BCCCD}"/>
              </c:ext>
            </c:extLst>
          </c:dPt>
          <c:dPt>
            <c:idx val="2"/>
            <c:invertIfNegative val="0"/>
            <c:bubble3D val="0"/>
            <c:spPr>
              <a:solidFill>
                <a:srgbClr val="F1A069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8A95-46BA-8053-B899200BCCCD}"/>
              </c:ext>
            </c:extLst>
          </c:dPt>
          <c:dPt>
            <c:idx val="3"/>
            <c:invertIfNegative val="0"/>
            <c:bubble3D val="0"/>
            <c:spPr>
              <a:solidFill>
                <a:srgbClr val="00B0F0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8A95-46BA-8053-B899200BCCC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50000"/>
                </a:scheme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A95-46BA-8053-B899200BCCCD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8A95-46BA-8053-B899200BCCCD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A95-46BA-8053-B899200BCCC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Zestawienie!$B$75:$E$75</c:f>
              <c:strCache>
                <c:ptCount val="4"/>
                <c:pt idx="0">
                  <c:v>Wariant A, KG-spr. 87%</c:v>
                </c:pt>
                <c:pt idx="1">
                  <c:v>Wariant B, Gaz PC-wsp. ef. 124%</c:v>
                </c:pt>
                <c:pt idx="2">
                  <c:v>Wariant C, Pelet-spr. 83%</c:v>
                </c:pt>
                <c:pt idx="3">
                  <c:v>Wariant D, KE-spr. 94%</c:v>
                </c:pt>
              </c:strCache>
            </c:strRef>
          </c:cat>
          <c:val>
            <c:numRef>
              <c:f>Zestawienie!$B$77:$E$77</c:f>
              <c:numCache>
                <c:formatCode>#,##0</c:formatCode>
                <c:ptCount val="4"/>
                <c:pt idx="0">
                  <c:v>-1300</c:v>
                </c:pt>
                <c:pt idx="1">
                  <c:v>-18900</c:v>
                </c:pt>
                <c:pt idx="2">
                  <c:v>-15000</c:v>
                </c:pt>
                <c:pt idx="3">
                  <c:v>9750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8A95-46BA-8053-B899200BCC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57787280"/>
        <c:axId val="557788848"/>
      </c:barChart>
      <c:catAx>
        <c:axId val="5577872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88848"/>
        <c:crosses val="autoZero"/>
        <c:auto val="1"/>
        <c:lblAlgn val="ctr"/>
        <c:lblOffset val="100"/>
        <c:noMultiLvlLbl val="0"/>
      </c:catAx>
      <c:valAx>
        <c:axId val="557788848"/>
        <c:scaling>
          <c:orientation val="minMax"/>
          <c:min val="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7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8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900"/>
            </a:pPr>
            <a:r>
              <a:rPr lang="pl-PL" sz="900" b="1" i="0" baseline="0">
                <a:effectLst/>
              </a:rPr>
              <a:t>Oszczędności kosztów eksploatacyjnych: </a:t>
            </a:r>
            <a:r>
              <a:rPr lang="pl-PL" sz="900" b="1" i="0" u="none" strike="noStrike" baseline="0">
                <a:effectLst/>
              </a:rPr>
              <a:t>wariantu F - P.C. P/W w stosunku do </a:t>
            </a:r>
            <a:r>
              <a:rPr lang="pl-PL" sz="900" b="1" i="0" baseline="0">
                <a:effectLst/>
              </a:rPr>
              <a:t>innych wariantów  [PLN/rok]</a:t>
            </a:r>
            <a:endParaRPr lang="pl-PL" sz="900">
              <a:effectLst/>
            </a:endParaRPr>
          </a:p>
        </c:rich>
      </c:tx>
      <c:layout>
        <c:manualLayout>
          <c:xMode val="edge"/>
          <c:yMode val="edge"/>
          <c:x val="0.10881022955271469"/>
          <c:y val="2.50626566416040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43541700763155183"/>
          <c:y val="0.30828153059814883"/>
          <c:w val="0.47779818515757122"/>
          <c:h val="0.66300347325005426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1">
                <a:lumMod val="95000"/>
                <a:lumOff val="5000"/>
              </a:schemeClr>
            </a:solidFill>
            <a:ln w="317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FF00"/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77E-42EC-8994-FD07D4F3A6D5}"/>
              </c:ext>
            </c:extLst>
          </c:dPt>
          <c:dPt>
            <c:idx val="1"/>
            <c:invertIfNegative val="0"/>
            <c:bubble3D val="0"/>
            <c:spPr>
              <a:solidFill>
                <a:srgbClr val="FFCCFF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277E-42EC-8994-FD07D4F3A6D5}"/>
              </c:ext>
            </c:extLst>
          </c:dPt>
          <c:dPt>
            <c:idx val="2"/>
            <c:invertIfNegative val="0"/>
            <c:bubble3D val="0"/>
            <c:spPr>
              <a:solidFill>
                <a:srgbClr val="F1A069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277E-42EC-8994-FD07D4F3A6D5}"/>
              </c:ext>
            </c:extLst>
          </c:dPt>
          <c:dPt>
            <c:idx val="3"/>
            <c:invertIfNegative val="0"/>
            <c:bubble3D val="0"/>
            <c:spPr>
              <a:solidFill>
                <a:srgbClr val="00B0F0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277E-42EC-8994-FD07D4F3A6D5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2">
                  <a:lumMod val="50000"/>
                </a:scheme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77E-42EC-8994-FD07D4F3A6D5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 w="3175">
                <a:solidFill>
                  <a:sysClr val="windowText" lastClr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277E-42EC-8994-FD07D4F3A6D5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4">
                  <a:lumMod val="50000"/>
                </a:schemeClr>
              </a:solidFill>
              <a:ln w="317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77E-42EC-8994-FD07D4F3A6D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Zestawienie!$B$75:$E$75</c:f>
              <c:strCache>
                <c:ptCount val="4"/>
                <c:pt idx="0">
                  <c:v>Wariant A, KG-spr. 87%</c:v>
                </c:pt>
                <c:pt idx="1">
                  <c:v>Wariant B, Gaz PC-wsp. ef. 124%</c:v>
                </c:pt>
                <c:pt idx="2">
                  <c:v>Wariant C, Pelet-spr. 83%</c:v>
                </c:pt>
                <c:pt idx="3">
                  <c:v>Wariant D, KE-spr. 94%</c:v>
                </c:pt>
              </c:strCache>
            </c:strRef>
          </c:cat>
          <c:val>
            <c:numRef>
              <c:f>Zestawienie!$B$79:$E$79</c:f>
              <c:numCache>
                <c:formatCode>0</c:formatCode>
                <c:ptCount val="4"/>
                <c:pt idx="0">
                  <c:v>663.95467255585868</c:v>
                </c:pt>
                <c:pt idx="1">
                  <c:v>619.49578253476125</c:v>
                </c:pt>
                <c:pt idx="2">
                  <c:v>395.04817145443963</c:v>
                </c:pt>
                <c:pt idx="3">
                  <c:v>2948.0031752339282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7E-42EC-8994-FD07D4F3A6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57782576"/>
        <c:axId val="557783752"/>
      </c:barChart>
      <c:catAx>
        <c:axId val="5577825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sz="900"/>
            </a:pPr>
            <a:endParaRPr lang="pl-PL"/>
          </a:p>
        </c:txPr>
        <c:crossAx val="557783752"/>
        <c:crosses val="autoZero"/>
        <c:auto val="1"/>
        <c:lblAlgn val="ctr"/>
        <c:lblOffset val="100"/>
        <c:noMultiLvlLbl val="0"/>
      </c:catAx>
      <c:valAx>
        <c:axId val="557783752"/>
        <c:scaling>
          <c:orientation val="minMax"/>
          <c:min val="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vert="horz"/>
          <a:lstStyle/>
          <a:p>
            <a:pPr>
              <a:defRPr/>
            </a:pPr>
            <a:endParaRPr lang="pl-PL"/>
          </a:p>
        </c:txPr>
        <c:crossAx val="5577825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6350" cap="flat" cmpd="sng" algn="ctr">
      <a:solidFill>
        <a:schemeClr val="tx1"/>
      </a:solidFill>
      <a:round/>
    </a:ln>
    <a:effectLst/>
  </c:spPr>
  <c:txPr>
    <a:bodyPr/>
    <a:lstStyle/>
    <a:p>
      <a:pPr>
        <a:defRPr sz="800" b="1"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000" b="1">
                <a:solidFill>
                  <a:sysClr val="windowText" lastClr="000000"/>
                </a:solidFill>
              </a:rPr>
              <a:t>Prosty okres zwrotu</a:t>
            </a:r>
            <a:r>
              <a:rPr lang="pl-PL" sz="1000" b="1" baseline="0">
                <a:solidFill>
                  <a:sysClr val="windowText" lastClr="000000"/>
                </a:solidFill>
              </a:rPr>
              <a:t> dod. nakład. inwestycyjnego PC P/W (w. F)  
w odniesieniu do kotła na pelet (wariant C)   </a:t>
            </a:r>
            <a:endParaRPr lang="pl-PL" sz="10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3083855132442915"/>
          <c:y val="3.207766642806013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65143693531199"/>
          <c:y val="0.21638590417484677"/>
          <c:w val="0.83669413772258061"/>
          <c:h val="0.53315495415619962"/>
        </c:manualLayout>
      </c:layout>
      <c:scatterChart>
        <c:scatterStyle val="smoothMarker"/>
        <c:varyColors val="0"/>
        <c:ser>
          <c:idx val="0"/>
          <c:order val="0"/>
          <c:tx>
            <c:v>Okres zwrotu dodatkowego nakładu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0"/>
              <c:numFmt formatCode="#,##0.0" sourceLinked="0"/>
              <c:spPr>
                <a:solidFill>
                  <a:sysClr val="window" lastClr="FFFFFF"/>
                </a:solidFill>
                <a:ln w="12700"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E4B0-4350-811F-B88B5C74E403}"/>
                </c:ext>
              </c:extLst>
            </c:dLbl>
            <c:numFmt formatCode="#,##0.0" sourceLinked="0"/>
            <c:spPr>
              <a:solidFill>
                <a:srgbClr val="ED7D31"/>
              </a:solidFill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Zestawienie!$D$146:$D$171</c:f>
              <c:numCache>
                <c:formatCode>#,##0</c:formatCode>
                <c:ptCount val="26"/>
                <c:pt idx="0">
                  <c:v>18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  <c:pt idx="4">
                  <c:v>22</c:v>
                </c:pt>
                <c:pt idx="5">
                  <c:v>23</c:v>
                </c:pt>
                <c:pt idx="6">
                  <c:v>24</c:v>
                </c:pt>
                <c:pt idx="7">
                  <c:v>25</c:v>
                </c:pt>
                <c:pt idx="8">
                  <c:v>26</c:v>
                </c:pt>
                <c:pt idx="9">
                  <c:v>27</c:v>
                </c:pt>
                <c:pt idx="10">
                  <c:v>28</c:v>
                </c:pt>
                <c:pt idx="11">
                  <c:v>29</c:v>
                </c:pt>
                <c:pt idx="12">
                  <c:v>30</c:v>
                </c:pt>
                <c:pt idx="13">
                  <c:v>31</c:v>
                </c:pt>
                <c:pt idx="14">
                  <c:v>32</c:v>
                </c:pt>
                <c:pt idx="15">
                  <c:v>33</c:v>
                </c:pt>
                <c:pt idx="16">
                  <c:v>34</c:v>
                </c:pt>
                <c:pt idx="17">
                  <c:v>35</c:v>
                </c:pt>
                <c:pt idx="18">
                  <c:v>36</c:v>
                </c:pt>
                <c:pt idx="19">
                  <c:v>37</c:v>
                </c:pt>
                <c:pt idx="20">
                  <c:v>38</c:v>
                </c:pt>
                <c:pt idx="21">
                  <c:v>39</c:v>
                </c:pt>
                <c:pt idx="22">
                  <c:v>40</c:v>
                </c:pt>
                <c:pt idx="23">
                  <c:v>41</c:v>
                </c:pt>
                <c:pt idx="24">
                  <c:v>42</c:v>
                </c:pt>
                <c:pt idx="25">
                  <c:v>43</c:v>
                </c:pt>
              </c:numCache>
            </c:numRef>
          </c:xVal>
          <c:yVal>
            <c:numRef>
              <c:f>Zestawienie!$E$146:$E$171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4B0-4350-811F-B88B5C74E403}"/>
            </c:ext>
          </c:extLst>
        </c:ser>
        <c:ser>
          <c:idx val="2"/>
          <c:order val="1"/>
          <c:tx>
            <c:v>Graniczny okres zwrotu 7 lat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Zestawienie!$D$100:$D$121</c:f>
              <c:numCache>
                <c:formatCode>#,##0</c:formatCode>
                <c:ptCount val="22"/>
                <c:pt idx="0">
                  <c:v>22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28</c:v>
                </c:pt>
                <c:pt idx="7">
                  <c:v>29</c:v>
                </c:pt>
                <c:pt idx="8">
                  <c:v>30</c:v>
                </c:pt>
                <c:pt idx="9">
                  <c:v>31</c:v>
                </c:pt>
                <c:pt idx="10">
                  <c:v>32</c:v>
                </c:pt>
                <c:pt idx="11">
                  <c:v>33</c:v>
                </c:pt>
                <c:pt idx="12">
                  <c:v>34</c:v>
                </c:pt>
                <c:pt idx="13">
                  <c:v>35</c:v>
                </c:pt>
                <c:pt idx="14">
                  <c:v>36</c:v>
                </c:pt>
                <c:pt idx="15">
                  <c:v>37</c:v>
                </c:pt>
                <c:pt idx="16">
                  <c:v>38</c:v>
                </c:pt>
                <c:pt idx="17">
                  <c:v>39</c:v>
                </c:pt>
                <c:pt idx="18">
                  <c:v>40</c:v>
                </c:pt>
                <c:pt idx="19">
                  <c:v>41</c:v>
                </c:pt>
                <c:pt idx="20">
                  <c:v>42</c:v>
                </c:pt>
                <c:pt idx="21">
                  <c:v>43</c:v>
                </c:pt>
              </c:numCache>
            </c:numRef>
          </c:xVal>
          <c:yVal>
            <c:numRef>
              <c:f>Zestawienie!$G$100:$G$121</c:f>
              <c:numCache>
                <c:formatCode>General</c:formatCode>
                <c:ptCount val="2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4B0-4350-811F-B88B5C74E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783360"/>
        <c:axId val="557788064"/>
      </c:scatterChart>
      <c:valAx>
        <c:axId val="557783360"/>
        <c:scaling>
          <c:orientation val="minMax"/>
          <c:max val="30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rgbClr val="FF0000"/>
                    </a:solidFill>
                  </a:rPr>
                  <a:t>Koszt pompy ciepła z montażem w wariancie F,</a:t>
                </a:r>
                <a:r>
                  <a:rPr lang="pl-PL" b="1" baseline="0">
                    <a:solidFill>
                      <a:srgbClr val="FF0000"/>
                    </a:solidFill>
                  </a:rPr>
                  <a:t> </a:t>
                </a:r>
                <a:r>
                  <a:rPr lang="pl-PL" b="1">
                    <a:solidFill>
                      <a:srgbClr val="FF0000"/>
                    </a:solidFill>
                  </a:rPr>
                  <a:t>brutto [tys. zł]</a:t>
                </a:r>
              </a:p>
            </c:rich>
          </c:tx>
          <c:layout>
            <c:manualLayout>
              <c:xMode val="edge"/>
              <c:yMode val="edge"/>
              <c:x val="8.7133284960540347E-2"/>
              <c:y val="0.8302005040563111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557788064"/>
        <c:crosses val="autoZero"/>
        <c:crossBetween val="midCat"/>
        <c:majorUnit val="1"/>
      </c:valAx>
      <c:valAx>
        <c:axId val="55778806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ysClr val="windowText" lastClr="000000"/>
                    </a:solidFill>
                  </a:rPr>
                  <a:t>Okres zwrotu nakładów [lata]</a:t>
                </a:r>
              </a:p>
            </c:rich>
          </c:tx>
          <c:layout>
            <c:manualLayout>
              <c:xMode val="edge"/>
              <c:yMode val="edge"/>
              <c:x val="1.701580177904383E-2"/>
              <c:y val="0.1913650530899546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83360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3556923132048765E-2"/>
          <c:y val="0.90712650620377"/>
          <c:w val="0.93644307686795114"/>
          <c:h val="8.8243781317108083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000" b="1">
                <a:solidFill>
                  <a:sysClr val="windowText" lastClr="000000"/>
                </a:solidFill>
              </a:rPr>
              <a:t>Prosty okres zwrotu</a:t>
            </a:r>
            <a:r>
              <a:rPr lang="pl-PL" sz="1000" b="1" baseline="0">
                <a:solidFill>
                  <a:sysClr val="windowText" lastClr="000000"/>
                </a:solidFill>
              </a:rPr>
              <a:t> dod. nakładu inwestycyjnego PC P/W (w. F)  
w odniesieniu do gazowej pompy ciepła (wariant B) </a:t>
            </a:r>
            <a:endParaRPr lang="pl-PL" sz="10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194230216086003"/>
          <c:y val="4.745884037222619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765143693531199"/>
          <c:y val="0.21638590417484677"/>
          <c:w val="0.83669413772258061"/>
          <c:h val="0.53315495415619962"/>
        </c:manualLayout>
      </c:layout>
      <c:scatterChart>
        <c:scatterStyle val="smoothMarker"/>
        <c:varyColors val="0"/>
        <c:ser>
          <c:idx val="0"/>
          <c:order val="0"/>
          <c:tx>
            <c:v>Okres zwrotu dodatkowego nakładu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10"/>
              <c:numFmt formatCode="#,##0.0" sourceLinked="0"/>
              <c:spPr>
                <a:solidFill>
                  <a:sysClr val="window" lastClr="FFFFFF"/>
                </a:solidFill>
                <a:ln w="12700">
                  <a:solidFill>
                    <a:schemeClr val="tx1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7B88-4472-9180-0F7866D098EE}"/>
                </c:ext>
              </c:extLst>
            </c:dLbl>
            <c:numFmt formatCode="#,##0.0" sourceLinked="0"/>
            <c:spPr>
              <a:solidFill>
                <a:srgbClr val="ED7D31"/>
              </a:solidFill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Zestawienie!$D$174:$D$199</c:f>
              <c:numCache>
                <c:formatCode>#,##0</c:formatCode>
                <c:ptCount val="26"/>
                <c:pt idx="0">
                  <c:v>18</c:v>
                </c:pt>
                <c:pt idx="1">
                  <c:v>19</c:v>
                </c:pt>
                <c:pt idx="2">
                  <c:v>20</c:v>
                </c:pt>
                <c:pt idx="3">
                  <c:v>21</c:v>
                </c:pt>
                <c:pt idx="4">
                  <c:v>22</c:v>
                </c:pt>
                <c:pt idx="5">
                  <c:v>23</c:v>
                </c:pt>
                <c:pt idx="6">
                  <c:v>24</c:v>
                </c:pt>
                <c:pt idx="7">
                  <c:v>25</c:v>
                </c:pt>
                <c:pt idx="8">
                  <c:v>26</c:v>
                </c:pt>
                <c:pt idx="9">
                  <c:v>27</c:v>
                </c:pt>
                <c:pt idx="10">
                  <c:v>28</c:v>
                </c:pt>
                <c:pt idx="11">
                  <c:v>29</c:v>
                </c:pt>
                <c:pt idx="12">
                  <c:v>30</c:v>
                </c:pt>
                <c:pt idx="13">
                  <c:v>31</c:v>
                </c:pt>
                <c:pt idx="14">
                  <c:v>32</c:v>
                </c:pt>
                <c:pt idx="15">
                  <c:v>33</c:v>
                </c:pt>
                <c:pt idx="16">
                  <c:v>34</c:v>
                </c:pt>
                <c:pt idx="17">
                  <c:v>35</c:v>
                </c:pt>
                <c:pt idx="18">
                  <c:v>36</c:v>
                </c:pt>
                <c:pt idx="19">
                  <c:v>37</c:v>
                </c:pt>
                <c:pt idx="20">
                  <c:v>38</c:v>
                </c:pt>
                <c:pt idx="21">
                  <c:v>39</c:v>
                </c:pt>
                <c:pt idx="22">
                  <c:v>40</c:v>
                </c:pt>
                <c:pt idx="23">
                  <c:v>41</c:v>
                </c:pt>
                <c:pt idx="24">
                  <c:v>42</c:v>
                </c:pt>
                <c:pt idx="25">
                  <c:v>43</c:v>
                </c:pt>
              </c:numCache>
            </c:numRef>
          </c:xVal>
          <c:yVal>
            <c:numRef>
              <c:f>Zestawienie!$E$174:$E$199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B88-4472-9180-0F7866D098EE}"/>
            </c:ext>
          </c:extLst>
        </c:ser>
        <c:ser>
          <c:idx val="2"/>
          <c:order val="1"/>
          <c:tx>
            <c:v>Graniczny okres zwrotu 7 lat</c:v>
          </c:tx>
          <c:spPr>
            <a:ln w="19050" cap="rnd">
              <a:solidFill>
                <a:srgbClr val="00B05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Zestawienie!$D$100:$D$121</c:f>
              <c:numCache>
                <c:formatCode>#,##0</c:formatCode>
                <c:ptCount val="22"/>
                <c:pt idx="0">
                  <c:v>22</c:v>
                </c:pt>
                <c:pt idx="1">
                  <c:v>23</c:v>
                </c:pt>
                <c:pt idx="2">
                  <c:v>24</c:v>
                </c:pt>
                <c:pt idx="3">
                  <c:v>25</c:v>
                </c:pt>
                <c:pt idx="4">
                  <c:v>26</c:v>
                </c:pt>
                <c:pt idx="5">
                  <c:v>27</c:v>
                </c:pt>
                <c:pt idx="6">
                  <c:v>28</c:v>
                </c:pt>
                <c:pt idx="7">
                  <c:v>29</c:v>
                </c:pt>
                <c:pt idx="8">
                  <c:v>30</c:v>
                </c:pt>
                <c:pt idx="9">
                  <c:v>31</c:v>
                </c:pt>
                <c:pt idx="10">
                  <c:v>32</c:v>
                </c:pt>
                <c:pt idx="11">
                  <c:v>33</c:v>
                </c:pt>
                <c:pt idx="12">
                  <c:v>34</c:v>
                </c:pt>
                <c:pt idx="13">
                  <c:v>35</c:v>
                </c:pt>
                <c:pt idx="14">
                  <c:v>36</c:v>
                </c:pt>
                <c:pt idx="15">
                  <c:v>37</c:v>
                </c:pt>
                <c:pt idx="16">
                  <c:v>38</c:v>
                </c:pt>
                <c:pt idx="17">
                  <c:v>39</c:v>
                </c:pt>
                <c:pt idx="18">
                  <c:v>40</c:v>
                </c:pt>
                <c:pt idx="19">
                  <c:v>41</c:v>
                </c:pt>
                <c:pt idx="20">
                  <c:v>42</c:v>
                </c:pt>
                <c:pt idx="21">
                  <c:v>43</c:v>
                </c:pt>
              </c:numCache>
            </c:numRef>
          </c:xVal>
          <c:yVal>
            <c:numRef>
              <c:f>Zestawienie!$G$100:$G$121</c:f>
              <c:numCache>
                <c:formatCode>General</c:formatCode>
                <c:ptCount val="22"/>
                <c:pt idx="0">
                  <c:v>7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7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7</c:v>
                </c:pt>
                <c:pt idx="10">
                  <c:v>7</c:v>
                </c:pt>
                <c:pt idx="11">
                  <c:v>7</c:v>
                </c:pt>
                <c:pt idx="12">
                  <c:v>7</c:v>
                </c:pt>
                <c:pt idx="13">
                  <c:v>7</c:v>
                </c:pt>
                <c:pt idx="14">
                  <c:v>7</c:v>
                </c:pt>
                <c:pt idx="15">
                  <c:v>7</c:v>
                </c:pt>
                <c:pt idx="16">
                  <c:v>7</c:v>
                </c:pt>
                <c:pt idx="17">
                  <c:v>7</c:v>
                </c:pt>
                <c:pt idx="18">
                  <c:v>7</c:v>
                </c:pt>
                <c:pt idx="19">
                  <c:v>7</c:v>
                </c:pt>
                <c:pt idx="20">
                  <c:v>7</c:v>
                </c:pt>
                <c:pt idx="21">
                  <c:v>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B88-4472-9180-0F7866D09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784144"/>
        <c:axId val="557786888"/>
      </c:scatterChart>
      <c:valAx>
        <c:axId val="557784144"/>
        <c:scaling>
          <c:orientation val="minMax"/>
          <c:max val="30"/>
          <c:min val="18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000" b="1">
                    <a:solidFill>
                      <a:srgbClr val="FF0000"/>
                    </a:solidFill>
                  </a:rPr>
                  <a:t>Koszt pompy ciepła z montażem w wariancie F,</a:t>
                </a:r>
                <a:r>
                  <a:rPr lang="pl-PL" sz="1000" b="1" baseline="0">
                    <a:solidFill>
                      <a:srgbClr val="FF0000"/>
                    </a:solidFill>
                  </a:rPr>
                  <a:t> </a:t>
                </a:r>
                <a:r>
                  <a:rPr lang="pl-PL" sz="1000" b="1">
                    <a:solidFill>
                      <a:srgbClr val="FF0000"/>
                    </a:solidFill>
                  </a:rPr>
                  <a:t>brutto [tys. zł]</a:t>
                </a:r>
              </a:p>
            </c:rich>
          </c:tx>
          <c:layout>
            <c:manualLayout>
              <c:xMode val="edge"/>
              <c:yMode val="edge"/>
              <c:x val="0.16054003523532162"/>
              <c:y val="0.84486303215030678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l-PL"/>
          </a:p>
        </c:txPr>
        <c:crossAx val="557786888"/>
        <c:crosses val="autoZero"/>
        <c:crossBetween val="midCat"/>
        <c:majorUnit val="1"/>
      </c:valAx>
      <c:valAx>
        <c:axId val="5577868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b="1">
                    <a:solidFill>
                      <a:sysClr val="windowText" lastClr="000000"/>
                    </a:solidFill>
                  </a:rPr>
                  <a:t>Okres zwrotu nakładów [lata]</a:t>
                </a:r>
              </a:p>
            </c:rich>
          </c:tx>
          <c:layout>
            <c:manualLayout>
              <c:xMode val="edge"/>
              <c:yMode val="edge"/>
              <c:x val="1.7015873871930393E-2"/>
              <c:y val="0.191365137275729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84144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3556834933304569E-2"/>
          <c:y val="0.90712625364644672"/>
          <c:w val="0.93644316506669556"/>
          <c:h val="8.8243624972098478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solidFill>
                  <a:sysClr val="windowText" lastClr="000000"/>
                </a:solidFill>
              </a:rPr>
              <a:t>Całkowite</a:t>
            </a:r>
            <a:r>
              <a:rPr lang="pl-PL" sz="1200" b="1" baseline="0">
                <a:solidFill>
                  <a:sysClr val="windowText" lastClr="000000"/>
                </a:solidFill>
              </a:rPr>
              <a:t> koszty zakumulowane (z uwzględnieniem NPV kosztów eksploatacji i wzrostu cen energii)</a:t>
            </a:r>
            <a:endParaRPr lang="pl-PL" sz="12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13578024165213E-2"/>
          <c:y val="9.8088779693118675E-2"/>
          <c:w val="0.8884477401612787"/>
          <c:h val="0.65787302239028367"/>
        </c:manualLayout>
      </c:layout>
      <c:lineChart>
        <c:grouping val="standard"/>
        <c:varyColors val="0"/>
        <c:ser>
          <c:idx val="0"/>
          <c:order val="0"/>
          <c:tx>
            <c:strRef>
              <c:f>Zestawienie!$B$204</c:f>
              <c:strCache>
                <c:ptCount val="1"/>
                <c:pt idx="0">
                  <c:v>Wariant A, KG-spr. 87%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Zestawienie!$B$207:$B$227</c:f>
              <c:numCache>
                <c:formatCode>0</c:formatCode>
                <c:ptCount val="21"/>
                <c:pt idx="0" formatCode="General">
                  <c:v>-20900</c:v>
                </c:pt>
                <c:pt idx="1">
                  <c:v>-23399.988540153463</c:v>
                </c:pt>
                <c:pt idx="2">
                  <c:v>-25885.357264282633</c:v>
                </c:pt>
                <c:pt idx="3">
                  <c:v>-28356.191668387663</c:v>
                </c:pt>
                <c:pt idx="4">
                  <c:v>-30812.576748492073</c:v>
                </c:pt>
                <c:pt idx="5">
                  <c:v>-33254.597003566632</c:v>
                </c:pt>
                <c:pt idx="6">
                  <c:v>-35682.336438436076</c:v>
                </c:pt>
                <c:pt idx="7">
                  <c:v>-38095.878566668864</c:v>
                </c:pt>
                <c:pt idx="8">
                  <c:v>-40495.306413449987</c:v>
                </c:pt>
                <c:pt idx="9">
                  <c:v>-42880.702518437072</c:v>
                </c:pt>
                <c:pt idx="10">
                  <c:v>-45252.148938599676</c:v>
                </c:pt>
                <c:pt idx="11">
                  <c:v>-47609.72725104203</c:v>
                </c:pt>
                <c:pt idx="12">
                  <c:v>-49953.518555809278</c:v>
                </c:pt>
                <c:pt idx="13">
                  <c:v>-52283.603478677309</c:v>
                </c:pt>
                <c:pt idx="14">
                  <c:v>-54600.062173926221</c:v>
                </c:pt>
                <c:pt idx="15">
                  <c:v>-56902.974327097661</c:v>
                </c:pt>
                <c:pt idx="16">
                  <c:v>-59192.419157735931</c:v>
                </c:pt>
                <c:pt idx="17">
                  <c:v>-61468.475422113152</c:v>
                </c:pt>
                <c:pt idx="18">
                  <c:v>-63731.221415938468</c:v>
                </c:pt>
                <c:pt idx="19">
                  <c:v>-65980.734977051354</c:v>
                </c:pt>
                <c:pt idx="20">
                  <c:v>-68217.093488099257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3D-4989-9262-AD05339115B3}"/>
            </c:ext>
          </c:extLst>
        </c:ser>
        <c:ser>
          <c:idx val="1"/>
          <c:order val="1"/>
          <c:tx>
            <c:strRef>
              <c:f>Zestawienie!$C$204</c:f>
              <c:strCache>
                <c:ptCount val="1"/>
                <c:pt idx="0">
                  <c:v>Wariant B, Gaz PC-wsp. ef. 124%</c:v>
                </c:pt>
              </c:strCache>
            </c:strRef>
          </c:tx>
          <c:spPr>
            <a:ln w="38100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Zestawienie!$C$207:$C$227</c:f>
              <c:numCache>
                <c:formatCode>0</c:formatCode>
                <c:ptCount val="21"/>
                <c:pt idx="0" formatCode="General">
                  <c:v>-38500</c:v>
                </c:pt>
                <c:pt idx="1">
                  <c:v>-40955.789643641263</c:v>
                </c:pt>
                <c:pt idx="2">
                  <c:v>-43397.217944337252</c:v>
                </c:pt>
                <c:pt idx="3">
                  <c:v>-45824.368886549637</c:v>
                </c:pt>
                <c:pt idx="4">
                  <c:v>-48237.325963602889</c:v>
                </c:pt>
                <c:pt idx="5">
                  <c:v>-50636.172180556416</c:v>
                </c:pt>
                <c:pt idx="6">
                  <c:v>-53020.990057059913</c:v>
                </c:pt>
                <c:pt idx="7">
                  <c:v>-55391.861630192056</c:v>
                </c:pt>
                <c:pt idx="8">
                  <c:v>-57748.868457282479</c:v>
                </c:pt>
                <c:pt idx="9">
                  <c:v>-60092.091618717408</c:v>
                </c:pt>
                <c:pt idx="10">
                  <c:v>-62421.611720728746</c:v>
                </c:pt>
                <c:pt idx="11">
                  <c:v>-64737.508898166911</c:v>
                </c:pt>
                <c:pt idx="12">
                  <c:v>-67039.862817257483</c:v>
                </c:pt>
                <c:pt idx="13">
                  <c:v>-69328.752678341683</c:v>
                </c:pt>
                <c:pt idx="14">
                  <c:v>-71604.257218600833</c:v>
                </c:pt>
                <c:pt idx="15">
                  <c:v>-73866.454714764899</c:v>
                </c:pt>
                <c:pt idx="16">
                  <c:v>-76115.422985805184</c:v>
                </c:pt>
                <c:pt idx="17">
                  <c:v>-78351.239395611337</c:v>
                </c:pt>
                <c:pt idx="18">
                  <c:v>-80573.980855652524</c:v>
                </c:pt>
                <c:pt idx="19">
                  <c:v>-82783.723827623297</c:v>
                </c:pt>
                <c:pt idx="20">
                  <c:v>-84980.544326073781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3D-4989-9262-AD05339115B3}"/>
            </c:ext>
          </c:extLst>
        </c:ser>
        <c:ser>
          <c:idx val="2"/>
          <c:order val="2"/>
          <c:tx>
            <c:strRef>
              <c:f>Zestawienie!$D$204</c:f>
              <c:strCache>
                <c:ptCount val="1"/>
                <c:pt idx="0">
                  <c:v>Wariant C, Pelet-spr. 83%</c:v>
                </c:pt>
              </c:strCache>
            </c:strRef>
          </c:tx>
          <c:spPr>
            <a:ln w="28575" cap="rnd">
              <a:solidFill>
                <a:schemeClr val="accent4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Zestawienie!$D$207:$D$227</c:f>
              <c:numCache>
                <c:formatCode>0</c:formatCode>
                <c:ptCount val="21"/>
                <c:pt idx="0" formatCode="General">
                  <c:v>-34600</c:v>
                </c:pt>
                <c:pt idx="1">
                  <c:v>-36832.654591690065</c:v>
                </c:pt>
                <c:pt idx="2">
                  <c:v>-39052.252723779602</c:v>
                </c:pt>
                <c:pt idx="3">
                  <c:v>-41258.870749833528</c:v>
                </c:pt>
                <c:pt idx="4">
                  <c:v>-43452.584576904679</c:v>
                </c:pt>
                <c:pt idx="5">
                  <c:v>-45633.469668145</c:v>
                </c:pt>
                <c:pt idx="6">
                  <c:v>-47801.601045401469</c:v>
                </c:pt>
                <c:pt idx="7">
                  <c:v>-49957.053291796787</c:v>
                </c:pt>
                <c:pt idx="8">
                  <c:v>-52099.900554295054</c:v>
                </c:pt>
                <c:pt idx="9">
                  <c:v>-54230.216546252399</c:v>
                </c:pt>
                <c:pt idx="10">
                  <c:v>-56348.074549952682</c:v>
                </c:pt>
                <c:pt idx="11">
                  <c:v>-58453.547419128401</c:v>
                </c:pt>
                <c:pt idx="12">
                  <c:v>-60546.707581466835</c:v>
                </c:pt>
                <c:pt idx="13">
                  <c:v>-62627.627041101536</c:v>
                </c:pt>
                <c:pt idx="14">
                  <c:v>-64696.377381089245</c:v>
                </c:pt>
                <c:pt idx="15">
                  <c:v>-66753.029765872358</c:v>
                </c:pt>
                <c:pt idx="16">
                  <c:v>-68797.654943726913</c:v>
                </c:pt>
                <c:pt idx="17">
                  <c:v>-70830.323249196343</c:v>
                </c:pt>
                <c:pt idx="18">
                  <c:v>-72851.104605511006</c:v>
                </c:pt>
                <c:pt idx="19">
                  <c:v>-74860.068526993389</c:v>
                </c:pt>
                <c:pt idx="20">
                  <c:v>-76857.284121449571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43D-4989-9262-AD05339115B3}"/>
            </c:ext>
          </c:extLst>
        </c:ser>
        <c:ser>
          <c:idx val="3"/>
          <c:order val="3"/>
          <c:tx>
            <c:strRef>
              <c:f>Zestawienie!$E$204</c:f>
              <c:strCache>
                <c:ptCount val="1"/>
                <c:pt idx="0">
                  <c:v>Wariant D, KE-spr. 94%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Zestawienie!$E$207:$E$227</c:f>
              <c:numCache>
                <c:formatCode>0</c:formatCode>
                <c:ptCount val="21"/>
                <c:pt idx="0" formatCode="General">
                  <c:v>-9850</c:v>
                </c:pt>
                <c:pt idx="1">
                  <c:v>-14620.68003404394</c:v>
                </c:pt>
                <c:pt idx="2">
                  <c:v>-19363.461354438499</c:v>
                </c:pt>
                <c:pt idx="3">
                  <c:v>-24078.5071115559</c:v>
                </c:pt>
                <c:pt idx="4">
                  <c:v>-28765.979501672613</c:v>
                </c:pt>
                <c:pt idx="5">
                  <c:v>-33426.039772548873</c:v>
                </c:pt>
                <c:pt idx="6">
                  <c:v>-38058.84822897557</c:v>
                </c:pt>
                <c:pt idx="7">
                  <c:v>-42664.564238288658</c:v>
                </c:pt>
                <c:pt idx="8">
                  <c:v>-47243.346235851379</c:v>
                </c:pt>
                <c:pt idx="9">
                  <c:v>-51795.351730504379</c:v>
                </c:pt>
                <c:pt idx="10">
                  <c:v>-56320.737309983968</c:v>
                </c:pt>
                <c:pt idx="11">
                  <c:v>-60819.658646308701</c:v>
                </c:pt>
                <c:pt idx="12">
                  <c:v>-65292.270501134466</c:v>
                </c:pt>
                <c:pt idx="13">
                  <c:v>-69738.726731078204</c:v>
                </c:pt>
                <c:pt idx="14">
                  <c:v>-74159.180293010577</c:v>
                </c:pt>
                <c:pt idx="15">
                  <c:v>-78553.783249317625</c:v>
                </c:pt>
                <c:pt idx="16">
                  <c:v>-82922.686773131631</c:v>
                </c:pt>
                <c:pt idx="17">
                  <c:v>-87266.041153531522</c:v>
                </c:pt>
                <c:pt idx="18">
                  <c:v>-91583.995800712713</c:v>
                </c:pt>
                <c:pt idx="19">
                  <c:v>-95876.699251126745</c:v>
                </c:pt>
                <c:pt idx="20">
                  <c:v>-100144.299172591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43D-4989-9262-AD05339115B3}"/>
            </c:ext>
          </c:extLst>
        </c:ser>
        <c:ser>
          <c:idx val="4"/>
          <c:order val="4"/>
          <c:tx>
            <c:strRef>
              <c:f>Zestawienie!$F$204</c:f>
              <c:strCache>
                <c:ptCount val="1"/>
                <c:pt idx="0">
                  <c:v>Wariant E, PV+ PC P/W, SPF=3,45</c:v>
                </c:pt>
              </c:strCache>
            </c:strRef>
          </c:tx>
          <c:spPr>
            <a:ln w="38100" cap="rnd">
              <a:solidFill>
                <a:srgbClr val="00206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Zestawienie!$F$207:$F$227</c:f>
              <c:numCache>
                <c:formatCode>0</c:formatCode>
                <c:ptCount val="21"/>
                <c:pt idx="0" formatCode="General">
                  <c:v>-30787.166666666664</c:v>
                </c:pt>
                <c:pt idx="1">
                  <c:v>-31661.655945419101</c:v>
                </c:pt>
                <c:pt idx="2">
                  <c:v>-32531.031251781173</c:v>
                </c:pt>
                <c:pt idx="3">
                  <c:v>-33395.32249202417</c:v>
                </c:pt>
                <c:pt idx="4">
                  <c:v>-34254.559397528901</c:v>
                </c:pt>
                <c:pt idx="5">
                  <c:v>-35108.771525808457</c:v>
                </c:pt>
                <c:pt idx="6">
                  <c:v>-35957.988261524973</c:v>
                </c:pt>
                <c:pt idx="7">
                  <c:v>-36802.23881750046</c:v>
                </c:pt>
                <c:pt idx="8">
                  <c:v>-37641.552235721705</c:v>
                </c:pt>
                <c:pt idx="9">
                  <c:v>-38475.957388339317</c:v>
                </c:pt>
                <c:pt idx="10">
                  <c:v>-39305.482978660919</c:v>
                </c:pt>
                <c:pt idx="11">
                  <c:v>-40130.157542138535</c:v>
                </c:pt>
                <c:pt idx="12">
                  <c:v>-40950.009447350203</c:v>
                </c:pt>
                <c:pt idx="13">
                  <c:v>-41765.066896975834</c:v>
                </c:pt>
                <c:pt idx="14">
                  <c:v>-42575.3579287674</c:v>
                </c:pt>
                <c:pt idx="15">
                  <c:v>-43380.910416513398</c:v>
                </c:pt>
                <c:pt idx="16">
                  <c:v>-44181.752070997725</c:v>
                </c:pt>
                <c:pt idx="17">
                  <c:v>-44977.910440952903</c:v>
                </c:pt>
                <c:pt idx="18">
                  <c:v>-45769.412914007757</c:v>
                </c:pt>
                <c:pt idx="19">
                  <c:v>-46556.286717629548</c:v>
                </c:pt>
                <c:pt idx="20">
                  <c:v>-47338.558920060561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343D-4989-9262-AD05339115B3}"/>
            </c:ext>
          </c:extLst>
        </c:ser>
        <c:ser>
          <c:idx val="5"/>
          <c:order val="5"/>
          <c:tx>
            <c:strRef>
              <c:f>Zestawienie!$G$204</c:f>
              <c:strCache>
                <c:ptCount val="1"/>
                <c:pt idx="0">
                  <c:v>Wariant F, PC P/W, SPF=3,45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ysDash"/>
            </a:ln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Zestawienie!$G$207:$G$227</c:f>
              <c:numCache>
                <c:formatCode>0</c:formatCode>
                <c:ptCount val="21"/>
                <c:pt idx="0" formatCode="General">
                  <c:v>-19600</c:v>
                </c:pt>
                <c:pt idx="1">
                  <c:v>-21439.916643460503</c:v>
                </c:pt>
                <c:pt idx="2">
                  <c:v>-23269.07354046802</c:v>
                </c:pt>
                <c:pt idx="3">
                  <c:v>-25087.533613516433</c:v>
                </c:pt>
                <c:pt idx="4">
                  <c:v>-26895.359417131807</c:v>
                </c:pt>
                <c:pt idx="5">
                  <c:v>-28692.613140024288</c:v>
                </c:pt>
                <c:pt idx="6">
                  <c:v>-30479.356607227339</c:v>
                </c:pt>
                <c:pt idx="7">
                  <c:v>-32255.651282224528</c:v>
                </c:pt>
                <c:pt idx="8">
                  <c:v>-34021.558269063833</c:v>
                </c:pt>
                <c:pt idx="9">
                  <c:v>-35777.138314459633</c:v>
                </c:pt>
                <c:pt idx="10">
                  <c:v>-37522.451809882361</c:v>
                </c:pt>
                <c:pt idx="11">
                  <c:v>-39257.558793635952</c:v>
                </c:pt>
                <c:pt idx="12">
                  <c:v>-40982.518952923143</c:v>
                </c:pt>
                <c:pt idx="13">
                  <c:v>-42697.391625898716</c:v>
                </c:pt>
                <c:pt idx="14">
                  <c:v>-44402.23580371069</c:v>
                </c:pt>
                <c:pt idx="15">
                  <c:v>-46097.110132529619</c:v>
                </c:pt>
                <c:pt idx="16">
                  <c:v>-47782.072915565965</c:v>
                </c:pt>
                <c:pt idx="17">
                  <c:v>-49457.18211507579</c:v>
                </c:pt>
                <c:pt idx="18">
                  <c:v>-51122.495354354563</c:v>
                </c:pt>
                <c:pt idx="19">
                  <c:v>-52778.069919719426</c:v>
                </c:pt>
                <c:pt idx="20">
                  <c:v>-54423.962762479816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43D-4989-9262-AD05339115B3}"/>
            </c:ext>
          </c:extLst>
        </c:ser>
        <c:ser>
          <c:idx val="6"/>
          <c:order val="6"/>
          <c:tx>
            <c:strRef>
              <c:f>Zestawienie!$H$204</c:f>
              <c:strCache>
                <c:ptCount val="1"/>
                <c:pt idx="0">
                  <c:v>Wariant G, PC S/W, SPF=3,75</c:v>
                </c:pt>
              </c:strCache>
            </c:strRef>
          </c:tx>
          <c:spPr>
            <a:ln w="38100" cap="rnd">
              <a:solidFill>
                <a:srgbClr val="00B0F0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Zestawienie!$A$207:$A$227</c:f>
              <c:numCache>
                <c:formatCode>General</c:formatCode>
                <c:ptCount val="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</c:numCache>
            </c:numRef>
          </c:cat>
          <c:val>
            <c:numRef>
              <c:f>Zestawienie!$H$207:$H$227</c:f>
              <c:numCache>
                <c:formatCode>0</c:formatCode>
                <c:ptCount val="21"/>
                <c:pt idx="0" formatCode="General">
                  <c:v>-32200</c:v>
                </c:pt>
                <c:pt idx="1">
                  <c:v>-33790.307945790402</c:v>
                </c:pt>
                <c:pt idx="2">
                  <c:v>-35371.315845114194</c:v>
                </c:pt>
                <c:pt idx="3">
                  <c:v>-36943.07808420802</c:v>
                </c:pt>
                <c:pt idx="4">
                  <c:v>-38505.648731260364</c:v>
                </c:pt>
                <c:pt idx="5">
                  <c:v>-40059.081538271465</c:v>
                </c:pt>
                <c:pt idx="6">
                  <c:v>-41603.429942902389</c:v>
                </c:pt>
                <c:pt idx="7">
                  <c:v>-43138.747070313242</c:v>
                </c:pt>
                <c:pt idx="8">
                  <c:v>-44665.085734990702</c:v>
                </c:pt>
                <c:pt idx="9">
                  <c:v>-46182.498442564785</c:v>
                </c:pt>
                <c:pt idx="10">
                  <c:v>-47691.037391615042</c:v>
                </c:pt>
                <c:pt idx="11">
                  <c:v>-49190.754475466172</c:v>
                </c:pt>
                <c:pt idx="12">
                  <c:v>-50681.701283973147</c:v>
                </c:pt>
                <c:pt idx="13">
                  <c:v>-52163.929105295865</c:v>
                </c:pt>
                <c:pt idx="14">
                  <c:v>-53637.488927663486</c:v>
                </c:pt>
                <c:pt idx="15">
                  <c:v>-55102.43144112837</c:v>
                </c:pt>
                <c:pt idx="16">
                  <c:v>-56558.807039309831</c:v>
                </c:pt>
                <c:pt idx="17">
                  <c:v>-58006.665821127666</c:v>
                </c:pt>
                <c:pt idx="18">
                  <c:v>-59446.057592525503</c:v>
                </c:pt>
                <c:pt idx="19">
                  <c:v>-60877.031868184182</c:v>
                </c:pt>
                <c:pt idx="20">
                  <c:v>-62299.637873224972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343D-4989-9262-AD05339115B3}"/>
            </c:ext>
          </c:extLst>
        </c:ser>
        <c:ser>
          <c:idx val="7"/>
          <c:order val="7"/>
          <c:tx>
            <c:v> </c:v>
          </c:tx>
          <c:spPr>
            <a:ln>
              <a:noFill/>
            </a:ln>
          </c:spPr>
          <c:marker>
            <c:symbol val="none"/>
          </c:marker>
          <c:errBars>
            <c:errDir val="y"/>
            <c:errBarType val="both"/>
            <c:errValType val="percentage"/>
            <c:noEndCap val="0"/>
            <c:val val="98"/>
            <c:spPr>
              <a:ln w="76200" cmpd="tri">
                <a:solidFill>
                  <a:srgbClr val="339933"/>
                </a:solidFill>
                <a:prstDash val="solid"/>
              </a:ln>
            </c:spPr>
          </c:errBars>
          <c:val>
            <c:numRef>
              <c:f>'Wykres kosztów zakumulowanych'!$J$73:$J$80</c:f>
              <c:numCache>
                <c:formatCode>0</c:formatCode>
                <c:ptCount val="8"/>
                <c:pt idx="0">
                  <c:v>200000</c:v>
                </c:pt>
                <c:pt idx="1">
                  <c:v>200000</c:v>
                </c:pt>
                <c:pt idx="2">
                  <c:v>200000</c:v>
                </c:pt>
                <c:pt idx="3">
                  <c:v>200000</c:v>
                </c:pt>
                <c:pt idx="4">
                  <c:v>200000</c:v>
                </c:pt>
                <c:pt idx="5">
                  <c:v>200000</c:v>
                </c:pt>
                <c:pt idx="6">
                  <c:v>200000</c:v>
                </c:pt>
                <c:pt idx="7">
                  <c:v>-42615.142128140658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43D-4989-9262-AD05339115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7758664"/>
        <c:axId val="557768464"/>
      </c:lineChart>
      <c:catAx>
        <c:axId val="557758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600" b="1">
                    <a:solidFill>
                      <a:sysClr val="windowText" lastClr="000000"/>
                    </a:solidFill>
                  </a:rPr>
                  <a:t>Okres użytkowania [lata]</a:t>
                </a:r>
              </a:p>
            </c:rich>
          </c:tx>
          <c:layout>
            <c:manualLayout>
              <c:xMode val="edge"/>
              <c:yMode val="edge"/>
              <c:x val="0.40883319849128846"/>
              <c:y val="0.8161001216311375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68464"/>
        <c:crossesAt val="-80000"/>
        <c:auto val="1"/>
        <c:lblAlgn val="ctr"/>
        <c:lblOffset val="100"/>
        <c:noMultiLvlLbl val="0"/>
      </c:catAx>
      <c:valAx>
        <c:axId val="557768464"/>
        <c:scaling>
          <c:orientation val="minMax"/>
          <c:max val="0"/>
          <c:min val="-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1600" b="1">
                    <a:solidFill>
                      <a:sysClr val="windowText" lastClr="000000"/>
                    </a:solidFill>
                  </a:rPr>
                  <a:t>Zakumulowany koszt [PLN]</a:t>
                </a:r>
              </a:p>
            </c:rich>
          </c:tx>
          <c:layout>
            <c:manualLayout>
              <c:xMode val="edge"/>
              <c:yMode val="edge"/>
              <c:x val="5.5555145194092761E-3"/>
              <c:y val="0.1799152853146104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0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58664"/>
        <c:crosses val="autoZero"/>
        <c:crossBetween val="midCat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1.8399048617984665E-2"/>
          <c:y val="0.89373743126516236"/>
          <c:w val="0.97872476892546023"/>
          <c:h val="9.8413276557419382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solidFill>
                  <a:sysClr val="windowText" lastClr="000000"/>
                </a:solidFill>
              </a:rPr>
              <a:t>Roczne zużycie</a:t>
            </a:r>
            <a:r>
              <a:rPr lang="pl-PL" sz="1200" b="1" baseline="0">
                <a:solidFill>
                  <a:sysClr val="windowText" lastClr="000000"/>
                </a:solidFill>
              </a:rPr>
              <a:t> energii elektrycznej </a:t>
            </a:r>
            <a:br>
              <a:rPr lang="pl-PL" sz="1200" b="1" baseline="0">
                <a:solidFill>
                  <a:sysClr val="windowText" lastClr="000000"/>
                </a:solidFill>
              </a:rPr>
            </a:br>
            <a:r>
              <a:rPr lang="pl-PL" sz="1200" b="1" baseline="0">
                <a:solidFill>
                  <a:sysClr val="windowText" lastClr="000000"/>
                </a:solidFill>
              </a:rPr>
              <a:t>lub gazu pomp ciepła w kWh/rok</a:t>
            </a:r>
            <a:endParaRPr lang="pl-PL" sz="12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860491719508513"/>
          <c:y val="0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346810907486121"/>
          <c:y val="0.16749999999999998"/>
          <c:w val="0.76597623858964536"/>
          <c:h val="0.6230912014376581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'Koszt energii elektrycznej'!$G$8</c:f>
              <c:strCache>
                <c:ptCount val="1"/>
                <c:pt idx="0">
                  <c:v>Centralne ogrzewanie</c:v>
                </c:pt>
              </c:strCache>
            </c:strRef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elektrycznej'!$H$8:$J$8</c:f>
              <c:numCache>
                <c:formatCode>0</c:formatCode>
                <c:ptCount val="3"/>
                <c:pt idx="0">
                  <c:v>2888.8888888888887</c:v>
                </c:pt>
                <c:pt idx="1">
                  <c:v>2476.1904761904761</c:v>
                </c:pt>
                <c:pt idx="2">
                  <c:v>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E7-49FA-A4E2-24A5A3A4AFC6}"/>
            </c:ext>
          </c:extLst>
        </c:ser>
        <c:ser>
          <c:idx val="1"/>
          <c:order val="1"/>
          <c:tx>
            <c:strRef>
              <c:f>'Koszt energii elektrycznej'!$G$9</c:f>
              <c:strCache>
                <c:ptCount val="1"/>
                <c:pt idx="0">
                  <c:v>Ciepła woda użytkowa</c:v>
                </c:pt>
              </c:strCache>
            </c:strRef>
          </c:tx>
          <c:spPr>
            <a:solidFill>
              <a:srgbClr val="E87B18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elektrycznej'!$H$9:$J$9</c:f>
              <c:numCache>
                <c:formatCode>0</c:formatCode>
                <c:ptCount val="3"/>
                <c:pt idx="0">
                  <c:v>2129.1666666666665</c:v>
                </c:pt>
                <c:pt idx="1">
                  <c:v>1825</c:v>
                </c:pt>
                <c:pt idx="2">
                  <c:v>3332.608695652174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3E7-49FA-A4E2-24A5A3A4AFC6}"/>
            </c:ext>
          </c:extLst>
        </c:ser>
        <c:ser>
          <c:idx val="2"/>
          <c:order val="2"/>
          <c:tx>
            <c:strRef>
              <c:f>'Koszt energii elektrycznej'!$G$10</c:f>
              <c:strCache>
                <c:ptCount val="1"/>
                <c:pt idx="0">
                  <c:v>Chłodzenie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elektrycznej'!$H$10:$J$10</c:f>
              <c:numCache>
                <c:formatCode>0</c:formatCode>
                <c:ptCount val="3"/>
                <c:pt idx="0">
                  <c:v>428.57142857142856</c:v>
                </c:pt>
                <c:pt idx="1">
                  <c:v>100</c:v>
                </c:pt>
                <c:pt idx="2">
                  <c:v>2142.8571428571431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E7-49FA-A4E2-24A5A3A4A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57767680"/>
        <c:axId val="557764152"/>
      </c:barChart>
      <c:catAx>
        <c:axId val="55776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64152"/>
        <c:crosses val="autoZero"/>
        <c:auto val="1"/>
        <c:lblAlgn val="ctr"/>
        <c:lblOffset val="100"/>
        <c:noMultiLvlLbl val="0"/>
      </c:catAx>
      <c:valAx>
        <c:axId val="557764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900" b="1">
                    <a:solidFill>
                      <a:sysClr val="windowText" lastClr="000000"/>
                    </a:solidFill>
                  </a:rPr>
                  <a:t>Roczne zużycie energii elektrycznej [kWh/rok]</a:t>
                </a:r>
              </a:p>
            </c:rich>
          </c:tx>
          <c:layout>
            <c:manualLayout>
              <c:xMode val="edge"/>
              <c:yMode val="edge"/>
              <c:x val="2.2581759691542982E-2"/>
              <c:y val="0.1313272918587879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6768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solidFill>
                  <a:sysClr val="windowText" lastClr="000000"/>
                </a:solidFill>
              </a:rPr>
              <a:t>Roczny</a:t>
            </a:r>
            <a:r>
              <a:rPr lang="pl-PL" sz="1200" b="1" baseline="0">
                <a:solidFill>
                  <a:sysClr val="windowText" lastClr="000000"/>
                </a:solidFill>
              </a:rPr>
              <a:t> koszt </a:t>
            </a:r>
            <a:r>
              <a:rPr lang="pl-PL" sz="1200" b="1">
                <a:solidFill>
                  <a:sysClr val="windowText" lastClr="000000"/>
                </a:solidFill>
              </a:rPr>
              <a:t>zużycia</a:t>
            </a:r>
            <a:r>
              <a:rPr lang="pl-PL" sz="1200" b="1" baseline="0">
                <a:solidFill>
                  <a:sysClr val="windowText" lastClr="000000"/>
                </a:solidFill>
              </a:rPr>
              <a:t> energii elektrycznej lub gazu pomp ciepła w PLN/rok  </a:t>
            </a:r>
            <a:endParaRPr lang="pl-PL" sz="12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2459458192725908"/>
          <c:y val="2.24719101123595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659091441694788"/>
          <c:y val="0.16749999999999998"/>
          <c:w val="0.79285362767154088"/>
          <c:h val="0.6154318912383144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'Koszt energii elektrycznej'!$G$15</c:f>
              <c:strCache>
                <c:ptCount val="1"/>
                <c:pt idx="0">
                  <c:v>Centralne ogrzewanie</c:v>
                </c:pt>
              </c:strCache>
            </c:strRef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elektrycznej'!$H$15:$J$15</c:f>
              <c:numCache>
                <c:formatCode>0</c:formatCode>
                <c:ptCount val="3"/>
                <c:pt idx="0">
                  <c:v>1052.1875</c:v>
                </c:pt>
                <c:pt idx="1">
                  <c:v>765.22727272727263</c:v>
                </c:pt>
                <c:pt idx="2">
                  <c:v>760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80-47A7-9142-E5FB4F04230A}"/>
            </c:ext>
          </c:extLst>
        </c:ser>
        <c:ser>
          <c:idx val="1"/>
          <c:order val="1"/>
          <c:tx>
            <c:strRef>
              <c:f>'Koszt energii elektrycznej'!$G$16</c:f>
              <c:strCache>
                <c:ptCount val="1"/>
                <c:pt idx="0">
                  <c:v>Ciepła woda użytkowa</c:v>
                </c:pt>
              </c:strCache>
            </c:strRef>
          </c:tx>
          <c:spPr>
            <a:solidFill>
              <a:srgbClr val="E87B18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elektrycznej'!$H$16:$J$16</c:f>
              <c:numCache>
                <c:formatCode>0</c:formatCode>
                <c:ptCount val="3"/>
                <c:pt idx="0">
                  <c:v>838.359375</c:v>
                </c:pt>
                <c:pt idx="1">
                  <c:v>609.71590909090901</c:v>
                </c:pt>
                <c:pt idx="2">
                  <c:v>633.19565217391312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980-47A7-9142-E5FB4F04230A}"/>
            </c:ext>
          </c:extLst>
        </c:ser>
        <c:ser>
          <c:idx val="2"/>
          <c:order val="2"/>
          <c:tx>
            <c:strRef>
              <c:f>'Koszt energii elektrycznej'!$G$17</c:f>
              <c:strCache>
                <c:ptCount val="1"/>
                <c:pt idx="0">
                  <c:v>Chłodzenie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elektrycznej'!$H$17:$J$17</c:f>
              <c:numCache>
                <c:formatCode>0</c:formatCode>
                <c:ptCount val="3"/>
                <c:pt idx="0">
                  <c:v>170</c:v>
                </c:pt>
                <c:pt idx="1">
                  <c:v>39.666666666666664</c:v>
                </c:pt>
                <c:pt idx="2">
                  <c:v>407.14285714285722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980-47A7-9142-E5FB4F042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57767288"/>
        <c:axId val="557757488"/>
      </c:barChart>
      <c:catAx>
        <c:axId val="557767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57488"/>
        <c:crosses val="autoZero"/>
        <c:auto val="1"/>
        <c:lblAlgn val="ctr"/>
        <c:lblOffset val="100"/>
        <c:noMultiLvlLbl val="0"/>
      </c:catAx>
      <c:valAx>
        <c:axId val="557757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800" b="1">
                    <a:solidFill>
                      <a:sysClr val="windowText" lastClr="000000"/>
                    </a:solidFill>
                  </a:rPr>
                  <a:t>Roczny koszt zużycia energii elektrycznej [PLN/rok]</a:t>
                </a:r>
              </a:p>
            </c:rich>
          </c:tx>
          <c:layout>
            <c:manualLayout>
              <c:xMode val="edge"/>
              <c:yMode val="edge"/>
              <c:x val="1.9507815429321333E-2"/>
              <c:y val="0.1450281636143796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6728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solidFill>
                  <a:sysClr val="windowText" lastClr="000000"/>
                </a:solidFill>
              </a:rPr>
              <a:t>Roczny</a:t>
            </a:r>
            <a:r>
              <a:rPr lang="pl-PL" sz="1200" b="1" baseline="0">
                <a:solidFill>
                  <a:sysClr val="windowText" lastClr="000000"/>
                </a:solidFill>
              </a:rPr>
              <a:t> udział </a:t>
            </a:r>
            <a:r>
              <a:rPr lang="pl-PL" sz="1200" b="1">
                <a:solidFill>
                  <a:sysClr val="windowText" lastClr="000000"/>
                </a:solidFill>
              </a:rPr>
              <a:t>zużycia</a:t>
            </a:r>
            <a:r>
              <a:rPr lang="pl-PL" sz="1200" b="1" baseline="0">
                <a:solidFill>
                  <a:sysClr val="windowText" lastClr="000000"/>
                </a:solidFill>
              </a:rPr>
              <a:t> energii elektrycznej lub gazu pomp ciepła w PLN/rok  </a:t>
            </a:r>
            <a:endParaRPr lang="pl-PL" sz="12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3947547209253711"/>
          <c:y val="1.498127340823970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031115251218602"/>
          <c:y val="0.18248134713497891"/>
          <c:w val="0.78913338957630286"/>
          <c:h val="0.6154318912383144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'Koszt energii elektrycznej'!$G$20</c:f>
              <c:strCache>
                <c:ptCount val="1"/>
                <c:pt idx="0">
                  <c:v>Centralne ogrzewanie</c:v>
                </c:pt>
              </c:strCache>
            </c:strRef>
          </c:tx>
          <c:spPr>
            <a:solidFill>
              <a:srgbClr val="FF0000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elektrycznej'!$H$20:$J$20</c:f>
              <c:numCache>
                <c:formatCode>0%</c:formatCode>
                <c:ptCount val="3"/>
                <c:pt idx="0">
                  <c:v>0.53039962114312778</c:v>
                </c:pt>
                <c:pt idx="1">
                  <c:v>0.562618339193941</c:v>
                </c:pt>
                <c:pt idx="2">
                  <c:v>0.4221428337320966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D8-4254-8860-B047984F22D2}"/>
            </c:ext>
          </c:extLst>
        </c:ser>
        <c:ser>
          <c:idx val="1"/>
          <c:order val="1"/>
          <c:tx>
            <c:strRef>
              <c:f>'Koszt energii elektrycznej'!$G$21</c:f>
              <c:strCache>
                <c:ptCount val="1"/>
                <c:pt idx="0">
                  <c:v>Ciepła woda użytkowa</c:v>
                </c:pt>
              </c:strCache>
            </c:strRef>
          </c:tx>
          <c:spPr>
            <a:solidFill>
              <a:srgbClr val="E87B18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elektrycznej'!$H$21:$J$21</c:f>
              <c:numCache>
                <c:formatCode>0%</c:formatCode>
                <c:ptCount val="3"/>
                <c:pt idx="0">
                  <c:v>0.39091472077519951</c:v>
                </c:pt>
                <c:pt idx="1">
                  <c:v>0.41466053556938059</c:v>
                </c:pt>
                <c:pt idx="2">
                  <c:v>0.35170921962570878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D8-4254-8860-B047984F22D2}"/>
            </c:ext>
          </c:extLst>
        </c:ser>
        <c:ser>
          <c:idx val="2"/>
          <c:order val="2"/>
          <c:tx>
            <c:strRef>
              <c:f>'Koszt energii elektrycznej'!$G$22</c:f>
              <c:strCache>
                <c:ptCount val="1"/>
                <c:pt idx="0">
                  <c:v>Chłodzenie</c:v>
                </c:pt>
              </c:strCache>
            </c:strRef>
          </c:tx>
          <c:spPr>
            <a:solidFill>
              <a:srgbClr val="5B9BD5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'Koszt energii elektrycznej'!$H$7:$J$7</c:f>
              <c:strCache>
                <c:ptCount val="3"/>
                <c:pt idx="0">
                  <c:v>Wariant F PC P/W</c:v>
                </c:pt>
                <c:pt idx="1">
                  <c:v>Wariant G PC S/W</c:v>
                </c:pt>
                <c:pt idx="2">
                  <c:v>Wariant B GPC P/W</c:v>
                </c:pt>
              </c:strCache>
            </c:strRef>
          </c:cat>
          <c:val>
            <c:numRef>
              <c:f>'Koszt energii elektrycznej'!$H$22:$J$22</c:f>
              <c:numCache>
                <c:formatCode>0%</c:formatCode>
                <c:ptCount val="3"/>
                <c:pt idx="0">
                  <c:v>7.8685658081672813E-2</c:v>
                </c:pt>
                <c:pt idx="1">
                  <c:v>2.2721125236678387E-2</c:v>
                </c:pt>
                <c:pt idx="2">
                  <c:v>0.22614794664219465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D8-4254-8860-B047984F22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557763368"/>
        <c:axId val="557759840"/>
      </c:barChart>
      <c:catAx>
        <c:axId val="557763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59840"/>
        <c:crosses val="autoZero"/>
        <c:auto val="1"/>
        <c:lblAlgn val="ctr"/>
        <c:lblOffset val="100"/>
        <c:noMultiLvlLbl val="0"/>
      </c:catAx>
      <c:valAx>
        <c:axId val="55775984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pl-PL" sz="800" b="1">
                    <a:solidFill>
                      <a:sysClr val="windowText" lastClr="000000"/>
                    </a:solidFill>
                  </a:rPr>
                  <a:t>Roczny udział zużycia energii elektrycznej [PLN/rok]</a:t>
                </a:r>
              </a:p>
            </c:rich>
          </c:tx>
          <c:layout>
            <c:manualLayout>
              <c:xMode val="edge"/>
              <c:yMode val="edge"/>
              <c:x val="2.6948180150047615E-2"/>
              <c:y val="0.13753752691025983"/>
            </c:manualLayout>
          </c:layout>
          <c:overlay val="0"/>
          <c:spPr>
            <a:noFill/>
            <a:ln w="2540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577633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8.xml"/><Relationship Id="rId5" Type="http://schemas.openxmlformats.org/officeDocument/2006/relationships/chart" Target="../charts/chart17.xml"/><Relationship Id="rId4" Type="http://schemas.openxmlformats.org/officeDocument/2006/relationships/chart" Target="../charts/chart16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104</xdr:row>
          <xdr:rowOff>106680</xdr:rowOff>
        </xdr:from>
        <xdr:to>
          <xdr:col>1</xdr:col>
          <xdr:colOff>1455420</xdr:colOff>
          <xdr:row>110</xdr:row>
          <xdr:rowOff>68580</xdr:rowOff>
        </xdr:to>
        <xdr:sp macro="" textlink="">
          <xdr:nvSpPr>
            <xdr:cNvPr id="1885186" name="Button 2" hidden="1">
              <a:extLst>
                <a:ext uri="{63B3BB69-23CF-44E3-9099-C40C66FF867C}">
                  <a14:compatExt spid="_x0000_s1885186"/>
                </a:ext>
                <a:ext uri="{FF2B5EF4-FFF2-40B4-BE49-F238E27FC236}">
                  <a16:creationId xmlns:a16="http://schemas.microsoft.com/office/drawing/2014/main" id="{00000000-0008-0000-0000-000002C4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731520</xdr:colOff>
      <xdr:row>1</xdr:row>
      <xdr:rowOff>26895</xdr:rowOff>
    </xdr:from>
    <xdr:to>
      <xdr:col>8</xdr:col>
      <xdr:colOff>952500</xdr:colOff>
      <xdr:row>5</xdr:row>
      <xdr:rowOff>53340</xdr:rowOff>
    </xdr:to>
    <xdr:pic>
      <xdr:nvPicPr>
        <xdr:cNvPr id="1885788" name="Picture 6" descr="logo plu text 1">
          <a:extLst>
            <a:ext uri="{FF2B5EF4-FFF2-40B4-BE49-F238E27FC236}">
              <a16:creationId xmlns:a16="http://schemas.microsoft.com/office/drawing/2014/main" id="{00000000-0008-0000-0000-00005CC61C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5614" y="273424"/>
          <a:ext cx="1256404" cy="707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655320</xdr:colOff>
      <xdr:row>0</xdr:row>
      <xdr:rowOff>86509</xdr:rowOff>
    </xdr:from>
    <xdr:to>
      <xdr:col>7</xdr:col>
      <xdr:colOff>586740</xdr:colOff>
      <xdr:row>7</xdr:row>
      <xdr:rowOff>48409</xdr:rowOff>
    </xdr:to>
    <xdr:pic>
      <xdr:nvPicPr>
        <xdr:cNvPr id="1885789" name="Obraz 5">
          <a:extLst>
            <a:ext uri="{FF2B5EF4-FFF2-40B4-BE49-F238E27FC236}">
              <a16:creationId xmlns:a16="http://schemas.microsoft.com/office/drawing/2014/main" id="{00000000-0008-0000-0000-00005DC61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3991" y="86509"/>
          <a:ext cx="966843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31</xdr:row>
          <xdr:rowOff>182880</xdr:rowOff>
        </xdr:from>
        <xdr:to>
          <xdr:col>1</xdr:col>
          <xdr:colOff>960120</xdr:colOff>
          <xdr:row>33</xdr:row>
          <xdr:rowOff>30480</xdr:rowOff>
        </xdr:to>
        <xdr:sp macro="" textlink="">
          <xdr:nvSpPr>
            <xdr:cNvPr id="1885362" name="Button 178" hidden="1">
              <a:extLst>
                <a:ext uri="{63B3BB69-23CF-44E3-9099-C40C66FF867C}">
                  <a14:compatExt spid="_x0000_s1885362"/>
                </a:ext>
                <a:ext uri="{FF2B5EF4-FFF2-40B4-BE49-F238E27FC236}">
                  <a16:creationId xmlns:a16="http://schemas.microsoft.com/office/drawing/2014/main" id="{00000000-0008-0000-0000-0000B2C4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1</xdr:row>
          <xdr:rowOff>91440</xdr:rowOff>
        </xdr:from>
        <xdr:to>
          <xdr:col>1</xdr:col>
          <xdr:colOff>982980</xdr:colOff>
          <xdr:row>3</xdr:row>
          <xdr:rowOff>60960</xdr:rowOff>
        </xdr:to>
        <xdr:sp macro="" textlink="">
          <xdr:nvSpPr>
            <xdr:cNvPr id="1885363" name="Button 179" hidden="1">
              <a:extLst>
                <a:ext uri="{63B3BB69-23CF-44E3-9099-C40C66FF867C}">
                  <a14:compatExt spid="_x0000_s1885363"/>
                </a:ext>
                <a:ext uri="{FF2B5EF4-FFF2-40B4-BE49-F238E27FC236}">
                  <a16:creationId xmlns:a16="http://schemas.microsoft.com/office/drawing/2014/main" id="{00000000-0008-0000-0000-0000B3C4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33</xdr:row>
          <xdr:rowOff>68580</xdr:rowOff>
        </xdr:from>
        <xdr:to>
          <xdr:col>1</xdr:col>
          <xdr:colOff>944880</xdr:colOff>
          <xdr:row>35</xdr:row>
          <xdr:rowOff>30480</xdr:rowOff>
        </xdr:to>
        <xdr:sp macro="" textlink="">
          <xdr:nvSpPr>
            <xdr:cNvPr id="1885387" name="Button 203" hidden="1">
              <a:extLst>
                <a:ext uri="{63B3BB69-23CF-44E3-9099-C40C66FF867C}">
                  <a14:compatExt spid="_x0000_s1885387"/>
                </a:ext>
                <a:ext uri="{FF2B5EF4-FFF2-40B4-BE49-F238E27FC236}">
                  <a16:creationId xmlns:a16="http://schemas.microsoft.com/office/drawing/2014/main" id="{00000000-0008-0000-0000-0000CBC4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990600</xdr:colOff>
          <xdr:row>31</xdr:row>
          <xdr:rowOff>175260</xdr:rowOff>
        </xdr:from>
        <xdr:to>
          <xdr:col>1</xdr:col>
          <xdr:colOff>1981200</xdr:colOff>
          <xdr:row>33</xdr:row>
          <xdr:rowOff>22860</xdr:rowOff>
        </xdr:to>
        <xdr:sp macro="" textlink="">
          <xdr:nvSpPr>
            <xdr:cNvPr id="1885542" name="Button 358" hidden="1">
              <a:extLst>
                <a:ext uri="{63B3BB69-23CF-44E3-9099-C40C66FF867C}">
                  <a14:compatExt spid="_x0000_s1885542"/>
                </a:ext>
                <a:ext uri="{FF2B5EF4-FFF2-40B4-BE49-F238E27FC236}">
                  <a16:creationId xmlns:a16="http://schemas.microsoft.com/office/drawing/2014/main" id="{00000000-0008-0000-0000-000066C5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budynku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2011680</xdr:colOff>
          <xdr:row>31</xdr:row>
          <xdr:rowOff>167640</xdr:rowOff>
        </xdr:from>
        <xdr:to>
          <xdr:col>1</xdr:col>
          <xdr:colOff>2987040</xdr:colOff>
          <xdr:row>33</xdr:row>
          <xdr:rowOff>22860</xdr:rowOff>
        </xdr:to>
        <xdr:sp macro="" textlink="">
          <xdr:nvSpPr>
            <xdr:cNvPr id="1885543" name="Button 359" hidden="1">
              <a:extLst>
                <a:ext uri="{63B3BB69-23CF-44E3-9099-C40C66FF867C}">
                  <a14:compatExt spid="_x0000_s1885543"/>
                </a:ext>
                <a:ext uri="{FF2B5EF4-FFF2-40B4-BE49-F238E27FC236}">
                  <a16:creationId xmlns:a16="http://schemas.microsoft.com/office/drawing/2014/main" id="{00000000-0008-0000-0000-000067C5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sprawność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(2)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3040380</xdr:colOff>
          <xdr:row>31</xdr:row>
          <xdr:rowOff>167640</xdr:rowOff>
        </xdr:from>
        <xdr:to>
          <xdr:col>2</xdr:col>
          <xdr:colOff>487680</xdr:colOff>
          <xdr:row>33</xdr:row>
          <xdr:rowOff>30480</xdr:rowOff>
        </xdr:to>
        <xdr:sp macro="" textlink="">
          <xdr:nvSpPr>
            <xdr:cNvPr id="1885544" name="Button 360" hidden="1">
              <a:extLst>
                <a:ext uri="{63B3BB69-23CF-44E3-9099-C40C66FF867C}">
                  <a14:compatExt spid="_x0000_s1885544"/>
                </a:ext>
                <a:ext uri="{FF2B5EF4-FFF2-40B4-BE49-F238E27FC236}">
                  <a16:creationId xmlns:a16="http://schemas.microsoft.com/office/drawing/2014/main" id="{00000000-0008-0000-0000-000068C5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koszty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inwestycyjne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518160</xdr:colOff>
          <xdr:row>31</xdr:row>
          <xdr:rowOff>152400</xdr:rowOff>
        </xdr:from>
        <xdr:to>
          <xdr:col>3</xdr:col>
          <xdr:colOff>182880</xdr:colOff>
          <xdr:row>33</xdr:row>
          <xdr:rowOff>30480</xdr:rowOff>
        </xdr:to>
        <xdr:sp macro="" textlink="">
          <xdr:nvSpPr>
            <xdr:cNvPr id="1885545" name="Button 361" hidden="1">
              <a:extLst>
                <a:ext uri="{63B3BB69-23CF-44E3-9099-C40C66FF867C}">
                  <a14:compatExt spid="_x0000_s1885545"/>
                </a:ext>
                <a:ext uri="{FF2B5EF4-FFF2-40B4-BE49-F238E27FC236}">
                  <a16:creationId xmlns:a16="http://schemas.microsoft.com/office/drawing/2014/main" id="{00000000-0008-0000-0000-000069C51C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eksploatacja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(4)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685800</xdr:colOff>
      <xdr:row>2</xdr:row>
      <xdr:rowOff>99060</xdr:rowOff>
    </xdr:from>
    <xdr:to>
      <xdr:col>10</xdr:col>
      <xdr:colOff>906780</xdr:colOff>
      <xdr:row>6</xdr:row>
      <xdr:rowOff>68580</xdr:rowOff>
    </xdr:to>
    <xdr:pic>
      <xdr:nvPicPr>
        <xdr:cNvPr id="2533889" name="Picture 6" descr="logo plu text 1">
          <a:extLst>
            <a:ext uri="{FF2B5EF4-FFF2-40B4-BE49-F238E27FC236}">
              <a16:creationId xmlns:a16="http://schemas.microsoft.com/office/drawing/2014/main" id="{00000000-0008-0000-0100-000001AA2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07240" y="541020"/>
          <a:ext cx="12573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514350</xdr:colOff>
      <xdr:row>1</xdr:row>
      <xdr:rowOff>58103</xdr:rowOff>
    </xdr:from>
    <xdr:to>
      <xdr:col>9</xdr:col>
      <xdr:colOff>445770</xdr:colOff>
      <xdr:row>8</xdr:row>
      <xdr:rowOff>25718</xdr:rowOff>
    </xdr:to>
    <xdr:pic>
      <xdr:nvPicPr>
        <xdr:cNvPr id="2533890" name="Obraz 5">
          <a:extLst>
            <a:ext uri="{FF2B5EF4-FFF2-40B4-BE49-F238E27FC236}">
              <a16:creationId xmlns:a16="http://schemas.microsoft.com/office/drawing/2014/main" id="{00000000-0008-0000-0100-000002AA2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10900" y="305753"/>
          <a:ext cx="969645" cy="1191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1</xdr:row>
          <xdr:rowOff>137160</xdr:rowOff>
        </xdr:from>
        <xdr:to>
          <xdr:col>1</xdr:col>
          <xdr:colOff>1036320</xdr:colOff>
          <xdr:row>3</xdr:row>
          <xdr:rowOff>144780</xdr:rowOff>
        </xdr:to>
        <xdr:sp macro="" textlink="">
          <xdr:nvSpPr>
            <xdr:cNvPr id="2533462" name="Button 86" hidden="1">
              <a:extLst>
                <a:ext uri="{63B3BB69-23CF-44E3-9099-C40C66FF867C}">
                  <a14:compatExt spid="_x0000_s2533462"/>
                </a:ext>
                <a:ext uri="{FF2B5EF4-FFF2-40B4-BE49-F238E27FC236}">
                  <a16:creationId xmlns:a16="http://schemas.microsoft.com/office/drawing/2014/main" id="{00000000-0008-0000-0100-000056A8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25</xdr:row>
          <xdr:rowOff>53340</xdr:rowOff>
        </xdr:from>
        <xdr:to>
          <xdr:col>1</xdr:col>
          <xdr:colOff>1036320</xdr:colOff>
          <xdr:row>27</xdr:row>
          <xdr:rowOff>68580</xdr:rowOff>
        </xdr:to>
        <xdr:sp macro="" textlink="">
          <xdr:nvSpPr>
            <xdr:cNvPr id="2533463" name="Button 87" hidden="1">
              <a:extLst>
                <a:ext uri="{63B3BB69-23CF-44E3-9099-C40C66FF867C}">
                  <a14:compatExt spid="_x0000_s2533463"/>
                </a:ext>
                <a:ext uri="{FF2B5EF4-FFF2-40B4-BE49-F238E27FC236}">
                  <a16:creationId xmlns:a16="http://schemas.microsoft.com/office/drawing/2014/main" id="{00000000-0008-0000-0100-000057A8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4</xdr:row>
          <xdr:rowOff>30480</xdr:rowOff>
        </xdr:from>
        <xdr:to>
          <xdr:col>1</xdr:col>
          <xdr:colOff>1021080</xdr:colOff>
          <xdr:row>5</xdr:row>
          <xdr:rowOff>137160</xdr:rowOff>
        </xdr:to>
        <xdr:sp macro="" textlink="">
          <xdr:nvSpPr>
            <xdr:cNvPr id="2533484" name="Button 108" hidden="1">
              <a:extLst>
                <a:ext uri="{63B3BB69-23CF-44E3-9099-C40C66FF867C}">
                  <a14:compatExt spid="_x0000_s2533484"/>
                </a:ext>
                <a:ext uri="{FF2B5EF4-FFF2-40B4-BE49-F238E27FC236}">
                  <a16:creationId xmlns:a16="http://schemas.microsoft.com/office/drawing/2014/main" id="{00000000-0008-0000-0100-00006CA8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27</xdr:row>
          <xdr:rowOff>106680</xdr:rowOff>
        </xdr:from>
        <xdr:to>
          <xdr:col>1</xdr:col>
          <xdr:colOff>1021080</xdr:colOff>
          <xdr:row>29</xdr:row>
          <xdr:rowOff>91440</xdr:rowOff>
        </xdr:to>
        <xdr:sp macro="" textlink="">
          <xdr:nvSpPr>
            <xdr:cNvPr id="2533503" name="Button 127" hidden="1">
              <a:extLst>
                <a:ext uri="{63B3BB69-23CF-44E3-9099-C40C66FF867C}">
                  <a14:compatExt spid="_x0000_s2533503"/>
                </a:ext>
                <a:ext uri="{FF2B5EF4-FFF2-40B4-BE49-F238E27FC236}">
                  <a16:creationId xmlns:a16="http://schemas.microsoft.com/office/drawing/2014/main" id="{00000000-0008-0000-0100-00007FA8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29</xdr:row>
          <xdr:rowOff>144780</xdr:rowOff>
        </xdr:from>
        <xdr:to>
          <xdr:col>1</xdr:col>
          <xdr:colOff>998220</xdr:colOff>
          <xdr:row>31</xdr:row>
          <xdr:rowOff>121920</xdr:rowOff>
        </xdr:to>
        <xdr:sp macro="" textlink="">
          <xdr:nvSpPr>
            <xdr:cNvPr id="2533504" name="Button 128" hidden="1">
              <a:extLst>
                <a:ext uri="{63B3BB69-23CF-44E3-9099-C40C66FF867C}">
                  <a14:compatExt spid="_x0000_s2533504"/>
                </a:ext>
                <a:ext uri="{FF2B5EF4-FFF2-40B4-BE49-F238E27FC236}">
                  <a16:creationId xmlns:a16="http://schemas.microsoft.com/office/drawing/2014/main" id="{00000000-0008-0000-0100-000080A8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1074420</xdr:colOff>
          <xdr:row>25</xdr:row>
          <xdr:rowOff>68580</xdr:rowOff>
        </xdr:from>
        <xdr:to>
          <xdr:col>1</xdr:col>
          <xdr:colOff>2065020</xdr:colOff>
          <xdr:row>27</xdr:row>
          <xdr:rowOff>53340</xdr:rowOff>
        </xdr:to>
        <xdr:sp macro="" textlink="">
          <xdr:nvSpPr>
            <xdr:cNvPr id="2533643" name="Button 267" hidden="1">
              <a:extLst>
                <a:ext uri="{63B3BB69-23CF-44E3-9099-C40C66FF867C}">
                  <a14:compatExt spid="_x0000_s2533643"/>
                </a:ext>
                <a:ext uri="{FF2B5EF4-FFF2-40B4-BE49-F238E27FC236}">
                  <a16:creationId xmlns:a16="http://schemas.microsoft.com/office/drawing/2014/main" id="{00000000-0008-0000-0100-00000BA9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budynku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2095500</xdr:colOff>
          <xdr:row>25</xdr:row>
          <xdr:rowOff>60960</xdr:rowOff>
        </xdr:from>
        <xdr:to>
          <xdr:col>1</xdr:col>
          <xdr:colOff>3070860</xdr:colOff>
          <xdr:row>27</xdr:row>
          <xdr:rowOff>53340</xdr:rowOff>
        </xdr:to>
        <xdr:sp macro="" textlink="">
          <xdr:nvSpPr>
            <xdr:cNvPr id="2533644" name="Button 268" hidden="1">
              <a:extLst>
                <a:ext uri="{63B3BB69-23CF-44E3-9099-C40C66FF867C}">
                  <a14:compatExt spid="_x0000_s2533644"/>
                </a:ext>
                <a:ext uri="{FF2B5EF4-FFF2-40B4-BE49-F238E27FC236}">
                  <a16:creationId xmlns:a16="http://schemas.microsoft.com/office/drawing/2014/main" id="{00000000-0008-0000-0100-00000CA9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sprawność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(2)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3124200</xdr:colOff>
          <xdr:row>25</xdr:row>
          <xdr:rowOff>60960</xdr:rowOff>
        </xdr:from>
        <xdr:to>
          <xdr:col>2</xdr:col>
          <xdr:colOff>822960</xdr:colOff>
          <xdr:row>27</xdr:row>
          <xdr:rowOff>45720</xdr:rowOff>
        </xdr:to>
        <xdr:sp macro="" textlink="">
          <xdr:nvSpPr>
            <xdr:cNvPr id="2533645" name="Button 269" hidden="1">
              <a:extLst>
                <a:ext uri="{63B3BB69-23CF-44E3-9099-C40C66FF867C}">
                  <a14:compatExt spid="_x0000_s2533645"/>
                </a:ext>
                <a:ext uri="{FF2B5EF4-FFF2-40B4-BE49-F238E27FC236}">
                  <a16:creationId xmlns:a16="http://schemas.microsoft.com/office/drawing/2014/main" id="{00000000-0008-0000-0100-00000DA9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inwestycyjne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853440</xdr:colOff>
          <xdr:row>25</xdr:row>
          <xdr:rowOff>45720</xdr:rowOff>
        </xdr:from>
        <xdr:to>
          <xdr:col>3</xdr:col>
          <xdr:colOff>518160</xdr:colOff>
          <xdr:row>27</xdr:row>
          <xdr:rowOff>53340</xdr:rowOff>
        </xdr:to>
        <xdr:sp macro="" textlink="">
          <xdr:nvSpPr>
            <xdr:cNvPr id="2533646" name="Button 270" hidden="1">
              <a:extLst>
                <a:ext uri="{63B3BB69-23CF-44E3-9099-C40C66FF867C}">
                  <a14:compatExt spid="_x0000_s2533646"/>
                </a:ext>
                <a:ext uri="{FF2B5EF4-FFF2-40B4-BE49-F238E27FC236}">
                  <a16:creationId xmlns:a16="http://schemas.microsoft.com/office/drawing/2014/main" id="{00000000-0008-0000-0100-00000EA92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Dane eksploatacja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(4)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66</xdr:row>
          <xdr:rowOff>106680</xdr:rowOff>
        </xdr:from>
        <xdr:to>
          <xdr:col>1</xdr:col>
          <xdr:colOff>1455420</xdr:colOff>
          <xdr:row>72</xdr:row>
          <xdr:rowOff>68580</xdr:rowOff>
        </xdr:to>
        <xdr:sp macro="" textlink="">
          <xdr:nvSpPr>
            <xdr:cNvPr id="1908738" name="Button 2" hidden="1">
              <a:extLst>
                <a:ext uri="{63B3BB69-23CF-44E3-9099-C40C66FF867C}">
                  <a14:compatExt spid="_x0000_s1908738"/>
                </a:ext>
                <a:ext uri="{FF2B5EF4-FFF2-40B4-BE49-F238E27FC236}">
                  <a16:creationId xmlns:a16="http://schemas.microsoft.com/office/drawing/2014/main" id="{00000000-0008-0000-0200-000002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845820</xdr:colOff>
      <xdr:row>3</xdr:row>
      <xdr:rowOff>22860</xdr:rowOff>
    </xdr:from>
    <xdr:to>
      <xdr:col>12</xdr:col>
      <xdr:colOff>30480</xdr:colOff>
      <xdr:row>6</xdr:row>
      <xdr:rowOff>152400</xdr:rowOff>
    </xdr:to>
    <xdr:pic>
      <xdr:nvPicPr>
        <xdr:cNvPr id="1909342" name="Picture 6" descr="logo plu text 1">
          <a:extLst>
            <a:ext uri="{FF2B5EF4-FFF2-40B4-BE49-F238E27FC236}">
              <a16:creationId xmlns:a16="http://schemas.microsoft.com/office/drawing/2014/main" id="{00000000-0008-0000-0200-00005E221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3920" y="640080"/>
          <a:ext cx="125730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662940</xdr:colOff>
      <xdr:row>1</xdr:row>
      <xdr:rowOff>76200</xdr:rowOff>
    </xdr:from>
    <xdr:to>
      <xdr:col>10</xdr:col>
      <xdr:colOff>601980</xdr:colOff>
      <xdr:row>8</xdr:row>
      <xdr:rowOff>60960</xdr:rowOff>
    </xdr:to>
    <xdr:pic>
      <xdr:nvPicPr>
        <xdr:cNvPr id="1909343" name="Obraz 5">
          <a:extLst>
            <a:ext uri="{FF2B5EF4-FFF2-40B4-BE49-F238E27FC236}">
              <a16:creationId xmlns:a16="http://schemas.microsoft.com/office/drawing/2014/main" id="{00000000-0008-0000-0200-00005F221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4720" y="335280"/>
          <a:ext cx="975360" cy="1280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1</xdr:row>
          <xdr:rowOff>152400</xdr:rowOff>
        </xdr:from>
        <xdr:to>
          <xdr:col>1</xdr:col>
          <xdr:colOff>1028700</xdr:colOff>
          <xdr:row>3</xdr:row>
          <xdr:rowOff>167640</xdr:rowOff>
        </xdr:to>
        <xdr:sp macro="" textlink="">
          <xdr:nvSpPr>
            <xdr:cNvPr id="1908913" name="Button 177" hidden="1">
              <a:extLst>
                <a:ext uri="{63B3BB69-23CF-44E3-9099-C40C66FF867C}">
                  <a14:compatExt spid="_x0000_s1908913"/>
                </a:ext>
                <a:ext uri="{FF2B5EF4-FFF2-40B4-BE49-F238E27FC236}">
                  <a16:creationId xmlns:a16="http://schemas.microsoft.com/office/drawing/2014/main" id="{00000000-0008-0000-0200-0000B1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60960</xdr:rowOff>
        </xdr:from>
        <xdr:to>
          <xdr:col>1</xdr:col>
          <xdr:colOff>1051560</xdr:colOff>
          <xdr:row>6</xdr:row>
          <xdr:rowOff>7620</xdr:rowOff>
        </xdr:to>
        <xdr:sp macro="" textlink="">
          <xdr:nvSpPr>
            <xdr:cNvPr id="1908935" name="Button 199" hidden="1">
              <a:extLst>
                <a:ext uri="{63B3BB69-23CF-44E3-9099-C40C66FF867C}">
                  <a14:compatExt spid="_x0000_s1908935"/>
                </a:ext>
                <a:ext uri="{FF2B5EF4-FFF2-40B4-BE49-F238E27FC236}">
                  <a16:creationId xmlns:a16="http://schemas.microsoft.com/office/drawing/2014/main" id="{00000000-0008-0000-0200-0000C7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&lt;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34</xdr:row>
          <xdr:rowOff>144780</xdr:rowOff>
        </xdr:from>
        <xdr:to>
          <xdr:col>1</xdr:col>
          <xdr:colOff>1036320</xdr:colOff>
          <xdr:row>36</xdr:row>
          <xdr:rowOff>91440</xdr:rowOff>
        </xdr:to>
        <xdr:sp macro="" textlink="">
          <xdr:nvSpPr>
            <xdr:cNvPr id="1908954" name="Button 218" hidden="1">
              <a:extLst>
                <a:ext uri="{63B3BB69-23CF-44E3-9099-C40C66FF867C}">
                  <a14:compatExt spid="_x0000_s1908954"/>
                </a:ext>
                <a:ext uri="{FF2B5EF4-FFF2-40B4-BE49-F238E27FC236}">
                  <a16:creationId xmlns:a16="http://schemas.microsoft.com/office/drawing/2014/main" id="{00000000-0008-0000-0200-0000DA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30</xdr:row>
          <xdr:rowOff>152400</xdr:rowOff>
        </xdr:from>
        <xdr:to>
          <xdr:col>1</xdr:col>
          <xdr:colOff>1036320</xdr:colOff>
          <xdr:row>32</xdr:row>
          <xdr:rowOff>76200</xdr:rowOff>
        </xdr:to>
        <xdr:sp macro="" textlink="">
          <xdr:nvSpPr>
            <xdr:cNvPr id="1908955" name="Button 219" hidden="1">
              <a:extLst>
                <a:ext uri="{63B3BB69-23CF-44E3-9099-C40C66FF867C}">
                  <a14:compatExt spid="_x0000_s1908955"/>
                </a:ext>
                <a:ext uri="{FF2B5EF4-FFF2-40B4-BE49-F238E27FC236}">
                  <a16:creationId xmlns:a16="http://schemas.microsoft.com/office/drawing/2014/main" id="{00000000-0008-0000-0200-0000DB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32</xdr:row>
          <xdr:rowOff>121920</xdr:rowOff>
        </xdr:from>
        <xdr:to>
          <xdr:col>1</xdr:col>
          <xdr:colOff>1036320</xdr:colOff>
          <xdr:row>34</xdr:row>
          <xdr:rowOff>91440</xdr:rowOff>
        </xdr:to>
        <xdr:sp macro="" textlink="">
          <xdr:nvSpPr>
            <xdr:cNvPr id="1908956" name="Button 220" hidden="1">
              <a:extLst>
                <a:ext uri="{63B3BB69-23CF-44E3-9099-C40C66FF867C}">
                  <a14:compatExt spid="_x0000_s1908956"/>
                </a:ext>
                <a:ext uri="{FF2B5EF4-FFF2-40B4-BE49-F238E27FC236}">
                  <a16:creationId xmlns:a16="http://schemas.microsoft.com/office/drawing/2014/main" id="{00000000-0008-0000-0200-0000DC20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&lt;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1097280</xdr:colOff>
          <xdr:row>30</xdr:row>
          <xdr:rowOff>160020</xdr:rowOff>
        </xdr:from>
        <xdr:to>
          <xdr:col>1</xdr:col>
          <xdr:colOff>2087880</xdr:colOff>
          <xdr:row>32</xdr:row>
          <xdr:rowOff>53340</xdr:rowOff>
        </xdr:to>
        <xdr:sp macro="" textlink="">
          <xdr:nvSpPr>
            <xdr:cNvPr id="1909096" name="Button 360" hidden="1">
              <a:extLst>
                <a:ext uri="{63B3BB69-23CF-44E3-9099-C40C66FF867C}">
                  <a14:compatExt spid="_x0000_s1909096"/>
                </a:ext>
                <a:ext uri="{FF2B5EF4-FFF2-40B4-BE49-F238E27FC236}">
                  <a16:creationId xmlns:a16="http://schemas.microsoft.com/office/drawing/2014/main" id="{00000000-0008-0000-0200-00006821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budynku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2118360</xdr:colOff>
          <xdr:row>30</xdr:row>
          <xdr:rowOff>152400</xdr:rowOff>
        </xdr:from>
        <xdr:to>
          <xdr:col>1</xdr:col>
          <xdr:colOff>3093720</xdr:colOff>
          <xdr:row>32</xdr:row>
          <xdr:rowOff>53340</xdr:rowOff>
        </xdr:to>
        <xdr:sp macro="" textlink="">
          <xdr:nvSpPr>
            <xdr:cNvPr id="1909097" name="Button 361" hidden="1">
              <a:extLst>
                <a:ext uri="{63B3BB69-23CF-44E3-9099-C40C66FF867C}">
                  <a14:compatExt spid="_x0000_s1909097"/>
                </a:ext>
                <a:ext uri="{FF2B5EF4-FFF2-40B4-BE49-F238E27FC236}">
                  <a16:creationId xmlns:a16="http://schemas.microsoft.com/office/drawing/2014/main" id="{00000000-0008-0000-0200-00006921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sprawność</a:t>
              </a:r>
              <a:r>
                <a:rPr lang="pl-PL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(2)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152400</xdr:rowOff>
        </xdr:from>
        <xdr:to>
          <xdr:col>2</xdr:col>
          <xdr:colOff>899160</xdr:colOff>
          <xdr:row>32</xdr:row>
          <xdr:rowOff>45720</xdr:rowOff>
        </xdr:to>
        <xdr:sp macro="" textlink="">
          <xdr:nvSpPr>
            <xdr:cNvPr id="1909098" name="Button 362" hidden="1">
              <a:extLst>
                <a:ext uri="{63B3BB69-23CF-44E3-9099-C40C66FF867C}">
                  <a14:compatExt spid="_x0000_s1909098"/>
                </a:ext>
                <a:ext uri="{FF2B5EF4-FFF2-40B4-BE49-F238E27FC236}">
                  <a16:creationId xmlns:a16="http://schemas.microsoft.com/office/drawing/2014/main" id="{00000000-0008-0000-0200-00006A21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inwestycyjne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914400</xdr:colOff>
          <xdr:row>30</xdr:row>
          <xdr:rowOff>137160</xdr:rowOff>
        </xdr:from>
        <xdr:to>
          <xdr:col>3</xdr:col>
          <xdr:colOff>838200</xdr:colOff>
          <xdr:row>32</xdr:row>
          <xdr:rowOff>53340</xdr:rowOff>
        </xdr:to>
        <xdr:sp macro="" textlink="">
          <xdr:nvSpPr>
            <xdr:cNvPr id="1909099" name="Button 363" hidden="1">
              <a:extLst>
                <a:ext uri="{63B3BB69-23CF-44E3-9099-C40C66FF867C}">
                  <a14:compatExt spid="_x0000_s1909099"/>
                </a:ext>
                <a:ext uri="{FF2B5EF4-FFF2-40B4-BE49-F238E27FC236}">
                  <a16:creationId xmlns:a16="http://schemas.microsoft.com/office/drawing/2014/main" id="{00000000-0008-0000-0200-00006B211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Dane eksploatacja </a:t>
              </a:r>
              <a:r>
                <a:rPr lang="pl-PL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(4)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</xdr:row>
          <xdr:rowOff>60960</xdr:rowOff>
        </xdr:from>
        <xdr:to>
          <xdr:col>1</xdr:col>
          <xdr:colOff>1501140</xdr:colOff>
          <xdr:row>4</xdr:row>
          <xdr:rowOff>30480</xdr:rowOff>
        </xdr:to>
        <xdr:sp macro="" textlink="">
          <xdr:nvSpPr>
            <xdr:cNvPr id="3020801" name="Button 1" hidden="1">
              <a:extLst>
                <a:ext uri="{63B3BB69-23CF-44E3-9099-C40C66FF867C}">
                  <a14:compatExt spid="_x0000_s3020801"/>
                </a:ext>
                <a:ext uri="{FF2B5EF4-FFF2-40B4-BE49-F238E27FC236}">
                  <a16:creationId xmlns:a16="http://schemas.microsoft.com/office/drawing/2014/main" id="{00000000-0008-0000-0300-000001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434340</xdr:colOff>
      <xdr:row>1</xdr:row>
      <xdr:rowOff>182880</xdr:rowOff>
    </xdr:from>
    <xdr:to>
      <xdr:col>11</xdr:col>
      <xdr:colOff>883920</xdr:colOff>
      <xdr:row>7</xdr:row>
      <xdr:rowOff>83820</xdr:rowOff>
    </xdr:to>
    <xdr:pic>
      <xdr:nvPicPr>
        <xdr:cNvPr id="3021244" name="Picture 6" descr="logo plu text 1">
          <a:extLst>
            <a:ext uri="{FF2B5EF4-FFF2-40B4-BE49-F238E27FC236}">
              <a16:creationId xmlns:a16="http://schemas.microsoft.com/office/drawing/2014/main" id="{00000000-0008-0000-0300-0000BC192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7760" y="441960"/>
          <a:ext cx="148590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274320</xdr:colOff>
      <xdr:row>0</xdr:row>
      <xdr:rowOff>198120</xdr:rowOff>
    </xdr:from>
    <xdr:to>
      <xdr:col>10</xdr:col>
      <xdr:colOff>205740</xdr:colOff>
      <xdr:row>7</xdr:row>
      <xdr:rowOff>106680</xdr:rowOff>
    </xdr:to>
    <xdr:pic>
      <xdr:nvPicPr>
        <xdr:cNvPr id="3021245" name="Obraz 5">
          <a:extLst>
            <a:ext uri="{FF2B5EF4-FFF2-40B4-BE49-F238E27FC236}">
              <a16:creationId xmlns:a16="http://schemas.microsoft.com/office/drawing/2014/main" id="{00000000-0008-0000-0300-0000BD192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61420" y="198120"/>
          <a:ext cx="967740" cy="1280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28</xdr:row>
          <xdr:rowOff>106680</xdr:rowOff>
        </xdr:from>
        <xdr:to>
          <xdr:col>1</xdr:col>
          <xdr:colOff>1546860</xdr:colOff>
          <xdr:row>30</xdr:row>
          <xdr:rowOff>121920</xdr:rowOff>
        </xdr:to>
        <xdr:sp macro="" textlink="">
          <xdr:nvSpPr>
            <xdr:cNvPr id="3020814" name="Button 14" hidden="1">
              <a:extLst>
                <a:ext uri="{63B3BB69-23CF-44E3-9099-C40C66FF867C}">
                  <a14:compatExt spid="_x0000_s3020814"/>
                </a:ext>
                <a:ext uri="{FF2B5EF4-FFF2-40B4-BE49-F238E27FC236}">
                  <a16:creationId xmlns:a16="http://schemas.microsoft.com/office/drawing/2014/main" id="{00000000-0008-0000-0300-00000E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4</xdr:row>
          <xdr:rowOff>68580</xdr:rowOff>
        </xdr:from>
        <xdr:to>
          <xdr:col>1</xdr:col>
          <xdr:colOff>1493520</xdr:colOff>
          <xdr:row>6</xdr:row>
          <xdr:rowOff>53340</xdr:rowOff>
        </xdr:to>
        <xdr:sp macro="" textlink="">
          <xdr:nvSpPr>
            <xdr:cNvPr id="3020832" name="Button 32" hidden="1">
              <a:extLst>
                <a:ext uri="{63B3BB69-23CF-44E3-9099-C40C66FF867C}">
                  <a14:compatExt spid="_x0000_s3020832"/>
                </a:ext>
                <a:ext uri="{FF2B5EF4-FFF2-40B4-BE49-F238E27FC236}">
                  <a16:creationId xmlns:a16="http://schemas.microsoft.com/office/drawing/2014/main" id="{00000000-0008-0000-0300-000020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31</xdr:row>
          <xdr:rowOff>22860</xdr:rowOff>
        </xdr:from>
        <xdr:to>
          <xdr:col>1</xdr:col>
          <xdr:colOff>1531620</xdr:colOff>
          <xdr:row>32</xdr:row>
          <xdr:rowOff>175260</xdr:rowOff>
        </xdr:to>
        <xdr:sp macro="" textlink="">
          <xdr:nvSpPr>
            <xdr:cNvPr id="3020833" name="Button 33" hidden="1">
              <a:extLst>
                <a:ext uri="{63B3BB69-23CF-44E3-9099-C40C66FF867C}">
                  <a14:compatExt spid="_x0000_s3020833"/>
                </a:ext>
                <a:ext uri="{FF2B5EF4-FFF2-40B4-BE49-F238E27FC236}">
                  <a16:creationId xmlns:a16="http://schemas.microsoft.com/office/drawing/2014/main" id="{00000000-0008-0000-0300-000021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&lt;</a:t>
              </a: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Poprzedni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1569720</xdr:colOff>
          <xdr:row>28</xdr:row>
          <xdr:rowOff>137160</xdr:rowOff>
        </xdr:from>
        <xdr:to>
          <xdr:col>1</xdr:col>
          <xdr:colOff>2560320</xdr:colOff>
          <xdr:row>30</xdr:row>
          <xdr:rowOff>106680</xdr:rowOff>
        </xdr:to>
        <xdr:sp macro="" textlink="">
          <xdr:nvSpPr>
            <xdr:cNvPr id="3020998" name="Button 198" hidden="1">
              <a:extLst>
                <a:ext uri="{63B3BB69-23CF-44E3-9099-C40C66FF867C}">
                  <a14:compatExt spid="_x0000_s3020998"/>
                </a:ext>
                <a:ext uri="{FF2B5EF4-FFF2-40B4-BE49-F238E27FC236}">
                  <a16:creationId xmlns:a16="http://schemas.microsoft.com/office/drawing/2014/main" id="{00000000-0008-0000-0300-0000C6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budynku 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(1)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2590800</xdr:colOff>
          <xdr:row>28</xdr:row>
          <xdr:rowOff>129540</xdr:rowOff>
        </xdr:from>
        <xdr:to>
          <xdr:col>2</xdr:col>
          <xdr:colOff>281940</xdr:colOff>
          <xdr:row>30</xdr:row>
          <xdr:rowOff>106680</xdr:rowOff>
        </xdr:to>
        <xdr:sp macro="" textlink="">
          <xdr:nvSpPr>
            <xdr:cNvPr id="3020999" name="Button 199" hidden="1">
              <a:extLst>
                <a:ext uri="{63B3BB69-23CF-44E3-9099-C40C66FF867C}">
                  <a14:compatExt spid="_x0000_s3020999"/>
                </a:ext>
                <a:ext uri="{FF2B5EF4-FFF2-40B4-BE49-F238E27FC236}">
                  <a16:creationId xmlns:a16="http://schemas.microsoft.com/office/drawing/2014/main" id="{00000000-0008-0000-0300-0000C7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sprawność</a:t>
              </a:r>
              <a:r>
                <a:rPr lang="pl-PL" sz="7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(2)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335280</xdr:colOff>
          <xdr:row>28</xdr:row>
          <xdr:rowOff>129540</xdr:rowOff>
        </xdr:from>
        <xdr:to>
          <xdr:col>2</xdr:col>
          <xdr:colOff>1318260</xdr:colOff>
          <xdr:row>30</xdr:row>
          <xdr:rowOff>99060</xdr:rowOff>
        </xdr:to>
        <xdr:sp macro="" textlink="">
          <xdr:nvSpPr>
            <xdr:cNvPr id="3021000" name="Button 200" hidden="1">
              <a:extLst>
                <a:ext uri="{63B3BB69-23CF-44E3-9099-C40C66FF867C}">
                  <a14:compatExt spid="_x0000_s3021000"/>
                </a:ext>
                <a:ext uri="{FF2B5EF4-FFF2-40B4-BE49-F238E27FC236}">
                  <a16:creationId xmlns:a16="http://schemas.microsoft.com/office/drawing/2014/main" id="{00000000-0008-0000-0300-0000C8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inwestycyjne</a:t>
              </a: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28</xdr:row>
          <xdr:rowOff>114300</xdr:rowOff>
        </xdr:from>
        <xdr:to>
          <xdr:col>4</xdr:col>
          <xdr:colOff>167640</xdr:colOff>
          <xdr:row>30</xdr:row>
          <xdr:rowOff>106680</xdr:rowOff>
        </xdr:to>
        <xdr:sp macro="" textlink="">
          <xdr:nvSpPr>
            <xdr:cNvPr id="3021001" name="Button 201" hidden="1">
              <a:extLst>
                <a:ext uri="{63B3BB69-23CF-44E3-9099-C40C66FF867C}">
                  <a14:compatExt spid="_x0000_s3021001"/>
                </a:ext>
                <a:ext uri="{FF2B5EF4-FFF2-40B4-BE49-F238E27FC236}">
                  <a16:creationId xmlns:a16="http://schemas.microsoft.com/office/drawing/2014/main" id="{00000000-0008-0000-0300-0000C9182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Dane eksploatacja</a:t>
              </a:r>
              <a:r>
                <a:rPr lang="pl-PL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(4)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</xdr:colOff>
      <xdr:row>3</xdr:row>
      <xdr:rowOff>144780</xdr:rowOff>
    </xdr:from>
    <xdr:to>
      <xdr:col>3</xdr:col>
      <xdr:colOff>228600</xdr:colOff>
      <xdr:row>5</xdr:row>
      <xdr:rowOff>15240</xdr:rowOff>
    </xdr:to>
    <xdr:sp macro="" textlink="">
      <xdr:nvSpPr>
        <xdr:cNvPr id="4484464" name="Rectangle 1">
          <a:extLst>
            <a:ext uri="{FF2B5EF4-FFF2-40B4-BE49-F238E27FC236}">
              <a16:creationId xmlns:a16="http://schemas.microsoft.com/office/drawing/2014/main" id="{00000000-0008-0000-0400-0000706D4400}"/>
            </a:ext>
          </a:extLst>
        </xdr:cNvPr>
        <xdr:cNvSpPr>
          <a:spLocks noChangeArrowheads="1"/>
        </xdr:cNvSpPr>
      </xdr:nvSpPr>
      <xdr:spPr bwMode="auto">
        <a:xfrm>
          <a:off x="411480" y="670560"/>
          <a:ext cx="4838700" cy="274320"/>
        </a:xfrm>
        <a:prstGeom prst="rect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106680</xdr:rowOff>
        </xdr:from>
        <xdr:to>
          <xdr:col>1</xdr:col>
          <xdr:colOff>1546860</xdr:colOff>
          <xdr:row>2</xdr:row>
          <xdr:rowOff>137160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4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103</xdr:row>
          <xdr:rowOff>106680</xdr:rowOff>
        </xdr:from>
        <xdr:to>
          <xdr:col>1</xdr:col>
          <xdr:colOff>1455420</xdr:colOff>
          <xdr:row>109</xdr:row>
          <xdr:rowOff>68580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4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 - koszty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434340</xdr:colOff>
      <xdr:row>2</xdr:row>
      <xdr:rowOff>38100</xdr:rowOff>
    </xdr:from>
    <xdr:to>
      <xdr:col>11</xdr:col>
      <xdr:colOff>655320</xdr:colOff>
      <xdr:row>6</xdr:row>
      <xdr:rowOff>0</xdr:rowOff>
    </xdr:to>
    <xdr:pic>
      <xdr:nvPicPr>
        <xdr:cNvPr id="4484465" name="Picture 6" descr="logo plu text 1">
          <a:extLst>
            <a:ext uri="{FF2B5EF4-FFF2-40B4-BE49-F238E27FC236}">
              <a16:creationId xmlns:a16="http://schemas.microsoft.com/office/drawing/2014/main" id="{00000000-0008-0000-0400-0000716D4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7760" y="388620"/>
          <a:ext cx="125730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0</xdr:row>
      <xdr:rowOff>160020</xdr:rowOff>
    </xdr:from>
    <xdr:to>
      <xdr:col>10</xdr:col>
      <xdr:colOff>45720</xdr:colOff>
      <xdr:row>7</xdr:row>
      <xdr:rowOff>160020</xdr:rowOff>
    </xdr:to>
    <xdr:pic>
      <xdr:nvPicPr>
        <xdr:cNvPr id="4484466" name="Obraz 5">
          <a:extLst>
            <a:ext uri="{FF2B5EF4-FFF2-40B4-BE49-F238E27FC236}">
              <a16:creationId xmlns:a16="http://schemas.microsoft.com/office/drawing/2014/main" id="{00000000-0008-0000-0400-0000726D4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160020"/>
          <a:ext cx="967740" cy="1280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441960</xdr:colOff>
      <xdr:row>6</xdr:row>
      <xdr:rowOff>45720</xdr:rowOff>
    </xdr:from>
    <xdr:to>
      <xdr:col>13</xdr:col>
      <xdr:colOff>160020</xdr:colOff>
      <xdr:row>21</xdr:row>
      <xdr:rowOff>76200</xdr:rowOff>
    </xdr:to>
    <xdr:graphicFrame macro="[0]!Makro44">
      <xdr:nvGraphicFramePr>
        <xdr:cNvPr id="5565884" name="Wykres 9">
          <a:extLst>
            <a:ext uri="{FF2B5EF4-FFF2-40B4-BE49-F238E27FC236}">
              <a16:creationId xmlns:a16="http://schemas.microsoft.com/office/drawing/2014/main" id="{00000000-0008-0000-0500-0000BCED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</xdr:colOff>
          <xdr:row>1</xdr:row>
          <xdr:rowOff>110490</xdr:rowOff>
        </xdr:from>
        <xdr:to>
          <xdr:col>3</xdr:col>
          <xdr:colOff>441960</xdr:colOff>
          <xdr:row>3</xdr:row>
          <xdr:rowOff>129540</xdr:rowOff>
        </xdr:to>
        <xdr:sp macro="" textlink="">
          <xdr:nvSpPr>
            <xdr:cNvPr id="54283" name="Button 11" hidden="1">
              <a:extLst>
                <a:ext uri="{63B3BB69-23CF-44E3-9099-C40C66FF867C}">
                  <a14:compatExt spid="_x0000_s54283"/>
                </a:ext>
                <a:ext uri="{FF2B5EF4-FFF2-40B4-BE49-F238E27FC236}">
                  <a16:creationId xmlns:a16="http://schemas.microsoft.com/office/drawing/2014/main" id="{00000000-0008-0000-0500-00000BD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budynku</a:t>
              </a:r>
              <a:r>
                <a:rPr lang="pl-PL" sz="7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(1)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281940</xdr:colOff>
      <xdr:row>6</xdr:row>
      <xdr:rowOff>38100</xdr:rowOff>
    </xdr:from>
    <xdr:to>
      <xdr:col>19</xdr:col>
      <xdr:colOff>601980</xdr:colOff>
      <xdr:row>21</xdr:row>
      <xdr:rowOff>83820</xdr:rowOff>
    </xdr:to>
    <xdr:graphicFrame macro="[0]!WynikiKoszty_Wykres14_Kliknięcie">
      <xdr:nvGraphicFramePr>
        <xdr:cNvPr id="5565885" name="Wykres 14">
          <a:extLst>
            <a:ext uri="{FF2B5EF4-FFF2-40B4-BE49-F238E27FC236}">
              <a16:creationId xmlns:a16="http://schemas.microsoft.com/office/drawing/2014/main" id="{00000000-0008-0000-0500-0000BDED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441960</xdr:colOff>
      <xdr:row>22</xdr:row>
      <xdr:rowOff>30480</xdr:rowOff>
    </xdr:from>
    <xdr:to>
      <xdr:col>13</xdr:col>
      <xdr:colOff>152400</xdr:colOff>
      <xdr:row>37</xdr:row>
      <xdr:rowOff>152400</xdr:rowOff>
    </xdr:to>
    <xdr:graphicFrame macro="[0]!Wykres18_Kliknięciec">
      <xdr:nvGraphicFramePr>
        <xdr:cNvPr id="5565886" name="Wykres 18">
          <a:extLst>
            <a:ext uri="{FF2B5EF4-FFF2-40B4-BE49-F238E27FC236}">
              <a16:creationId xmlns:a16="http://schemas.microsoft.com/office/drawing/2014/main" id="{00000000-0008-0000-0500-0000BEED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0</xdr:col>
      <xdr:colOff>83820</xdr:colOff>
      <xdr:row>6</xdr:row>
      <xdr:rowOff>30480</xdr:rowOff>
    </xdr:from>
    <xdr:to>
      <xdr:col>6</xdr:col>
      <xdr:colOff>304800</xdr:colOff>
      <xdr:row>21</xdr:row>
      <xdr:rowOff>53340</xdr:rowOff>
    </xdr:to>
    <xdr:graphicFrame macro="[0]!Wynikikoszty_Wykres6_Kliknięcie">
      <xdr:nvGraphicFramePr>
        <xdr:cNvPr id="5565887" name="Wykres 6">
          <a:extLst>
            <a:ext uri="{FF2B5EF4-FFF2-40B4-BE49-F238E27FC236}">
              <a16:creationId xmlns:a16="http://schemas.microsoft.com/office/drawing/2014/main" id="{00000000-0008-0000-0500-0000BFED54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1</xdr:row>
          <xdr:rowOff>175260</xdr:rowOff>
        </xdr:from>
        <xdr:to>
          <xdr:col>2</xdr:col>
          <xdr:colOff>15240</xdr:colOff>
          <xdr:row>3</xdr:row>
          <xdr:rowOff>137160</xdr:rowOff>
        </xdr:to>
        <xdr:sp macro="" textlink="">
          <xdr:nvSpPr>
            <xdr:cNvPr id="2396434" name="Button 1298" hidden="1">
              <a:extLst>
                <a:ext uri="{63B3BB69-23CF-44E3-9099-C40C66FF867C}">
                  <a14:compatExt spid="_x0000_s2396434"/>
                </a:ext>
                <a:ext uri="{FF2B5EF4-FFF2-40B4-BE49-F238E27FC236}">
                  <a16:creationId xmlns:a16="http://schemas.microsoft.com/office/drawing/2014/main" id="{00000000-0008-0000-0500-000012912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68580</xdr:colOff>
      <xdr:row>22</xdr:row>
      <xdr:rowOff>22860</xdr:rowOff>
    </xdr:from>
    <xdr:to>
      <xdr:col>6</xdr:col>
      <xdr:colOff>304800</xdr:colOff>
      <xdr:row>37</xdr:row>
      <xdr:rowOff>144780</xdr:rowOff>
    </xdr:to>
    <xdr:graphicFrame macro="[0]!Wynikikoszty_Wykres8_Kliknięcie">
      <xdr:nvGraphicFramePr>
        <xdr:cNvPr id="5565888" name="Wykres 8">
          <a:extLst>
            <a:ext uri="{FF2B5EF4-FFF2-40B4-BE49-F238E27FC236}">
              <a16:creationId xmlns:a16="http://schemas.microsoft.com/office/drawing/2014/main" id="{00000000-0008-0000-0500-0000C0ED54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274320</xdr:colOff>
      <xdr:row>22</xdr:row>
      <xdr:rowOff>22860</xdr:rowOff>
    </xdr:from>
    <xdr:to>
      <xdr:col>20</xdr:col>
      <xdr:colOff>15240</xdr:colOff>
      <xdr:row>37</xdr:row>
      <xdr:rowOff>160020</xdr:rowOff>
    </xdr:to>
    <xdr:graphicFrame macro="[0]!Wynikikoszty_Wykres11_Kliknięcie">
      <xdr:nvGraphicFramePr>
        <xdr:cNvPr id="5565889" name="Wykres 11">
          <a:extLst>
            <a:ext uri="{FF2B5EF4-FFF2-40B4-BE49-F238E27FC236}">
              <a16:creationId xmlns:a16="http://schemas.microsoft.com/office/drawing/2014/main" id="{00000000-0008-0000-0500-0000C1ED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472440</xdr:colOff>
          <xdr:row>1</xdr:row>
          <xdr:rowOff>152400</xdr:rowOff>
        </xdr:from>
        <xdr:to>
          <xdr:col>5</xdr:col>
          <xdr:colOff>228600</xdr:colOff>
          <xdr:row>3</xdr:row>
          <xdr:rowOff>129540</xdr:rowOff>
        </xdr:to>
        <xdr:sp macro="" textlink="">
          <xdr:nvSpPr>
            <xdr:cNvPr id="2396805" name="Button 1669" hidden="1">
              <a:extLst>
                <a:ext uri="{63B3BB69-23CF-44E3-9099-C40C66FF867C}">
                  <a14:compatExt spid="_x0000_s2396805"/>
                </a:ext>
                <a:ext uri="{FF2B5EF4-FFF2-40B4-BE49-F238E27FC236}">
                  <a16:creationId xmlns:a16="http://schemas.microsoft.com/office/drawing/2014/main" id="{00000000-0008-0000-0500-000085922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sprawność </a:t>
              </a:r>
              <a:r>
                <a:rPr lang="pl-PL" sz="7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(2)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281940</xdr:colOff>
          <xdr:row>1</xdr:row>
          <xdr:rowOff>152400</xdr:rowOff>
        </xdr:from>
        <xdr:to>
          <xdr:col>7</xdr:col>
          <xdr:colOff>45720</xdr:colOff>
          <xdr:row>3</xdr:row>
          <xdr:rowOff>137160</xdr:rowOff>
        </xdr:to>
        <xdr:sp macro="" textlink="">
          <xdr:nvSpPr>
            <xdr:cNvPr id="2396806" name="Button 1670" hidden="1">
              <a:extLst>
                <a:ext uri="{63B3BB69-23CF-44E3-9099-C40C66FF867C}">
                  <a14:compatExt spid="_x0000_s2396806"/>
                </a:ext>
                <a:ext uri="{FF2B5EF4-FFF2-40B4-BE49-F238E27FC236}">
                  <a16:creationId xmlns:a16="http://schemas.microsoft.com/office/drawing/2014/main" id="{00000000-0008-0000-0500-000086922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 </a:t>
              </a:r>
            </a:p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inwestycyjne </a:t>
              </a:r>
              <a:r>
                <a:rPr lang="pl-PL" sz="7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(3)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</xdr:row>
          <xdr:rowOff>137160</xdr:rowOff>
        </xdr:from>
        <xdr:to>
          <xdr:col>8</xdr:col>
          <xdr:colOff>438150</xdr:colOff>
          <xdr:row>3</xdr:row>
          <xdr:rowOff>137160</xdr:rowOff>
        </xdr:to>
        <xdr:sp macro="" textlink="">
          <xdr:nvSpPr>
            <xdr:cNvPr id="2396807" name="Button 1671" hidden="1">
              <a:extLst>
                <a:ext uri="{63B3BB69-23CF-44E3-9099-C40C66FF867C}">
                  <a14:compatExt spid="_x0000_s2396807"/>
                </a:ext>
                <a:ext uri="{FF2B5EF4-FFF2-40B4-BE49-F238E27FC236}">
                  <a16:creationId xmlns:a16="http://schemas.microsoft.com/office/drawing/2014/main" id="{00000000-0008-0000-0500-000087922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Dane  </a:t>
              </a:r>
            </a:p>
            <a:p>
              <a:pPr algn="ctr" rtl="0">
                <a:defRPr sz="1000"/>
              </a:pPr>
              <a:r>
                <a:rPr lang="pl-PL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eksploatacja</a:t>
              </a:r>
              <a:r>
                <a:rPr lang="pl-PL" sz="7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(4)</a:t>
              </a:r>
            </a:p>
          </xdr:txBody>
        </xdr:sp>
        <xdr:clientData fPrintsWithSheet="0"/>
      </xdr:twoCellAnchor>
    </mc:Choice>
    <mc:Fallback/>
  </mc:AlternateContent>
  <xdr:twoCellAnchor>
    <xdr:from>
      <xdr:col>20</xdr:col>
      <xdr:colOff>114300</xdr:colOff>
      <xdr:row>6</xdr:row>
      <xdr:rowOff>53340</xdr:rowOff>
    </xdr:from>
    <xdr:to>
      <xdr:col>26</xdr:col>
      <xdr:colOff>480060</xdr:colOff>
      <xdr:row>21</xdr:row>
      <xdr:rowOff>121920</xdr:rowOff>
    </xdr:to>
    <xdr:graphicFrame macro="[0]!Wykres12_Kliknięcie">
      <xdr:nvGraphicFramePr>
        <xdr:cNvPr id="5565890" name="Wykres 12">
          <a:extLst>
            <a:ext uri="{FF2B5EF4-FFF2-40B4-BE49-F238E27FC236}">
              <a16:creationId xmlns:a16="http://schemas.microsoft.com/office/drawing/2014/main" id="{00000000-0008-0000-0500-0000C2ED5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2</xdr:row>
      <xdr:rowOff>7620</xdr:rowOff>
    </xdr:from>
    <xdr:to>
      <xdr:col>18</xdr:col>
      <xdr:colOff>60960</xdr:colOff>
      <xdr:row>33</xdr:row>
      <xdr:rowOff>125730</xdr:rowOff>
    </xdr:to>
    <xdr:graphicFrame macro="">
      <xdr:nvGraphicFramePr>
        <xdr:cNvPr id="1475869" name="Wykres 1">
          <a:extLst>
            <a:ext uri="{FF2B5EF4-FFF2-40B4-BE49-F238E27FC236}">
              <a16:creationId xmlns:a16="http://schemas.microsoft.com/office/drawing/2014/main" id="{00000000-0008-0000-0600-00001D851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167640</xdr:colOff>
          <xdr:row>3</xdr:row>
          <xdr:rowOff>137160</xdr:rowOff>
        </xdr:from>
        <xdr:to>
          <xdr:col>2</xdr:col>
          <xdr:colOff>137160</xdr:colOff>
          <xdr:row>5</xdr:row>
          <xdr:rowOff>22860</xdr:rowOff>
        </xdr:to>
        <xdr:sp macro="" textlink="">
          <xdr:nvSpPr>
            <xdr:cNvPr id="1475585" name="Button 1" hidden="1">
              <a:extLst>
                <a:ext uri="{63B3BB69-23CF-44E3-9099-C40C66FF867C}">
                  <a14:compatExt spid="_x0000_s1475585"/>
                </a:ext>
                <a:ext uri="{FF2B5EF4-FFF2-40B4-BE49-F238E27FC236}">
                  <a16:creationId xmlns:a16="http://schemas.microsoft.com/office/drawing/2014/main" id="{00000000-0008-0000-0600-00000184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175260</xdr:colOff>
          <xdr:row>5</xdr:row>
          <xdr:rowOff>60960</xdr:rowOff>
        </xdr:from>
        <xdr:to>
          <xdr:col>2</xdr:col>
          <xdr:colOff>129540</xdr:colOff>
          <xdr:row>6</xdr:row>
          <xdr:rowOff>106680</xdr:rowOff>
        </xdr:to>
        <xdr:sp macro="" textlink="">
          <xdr:nvSpPr>
            <xdr:cNvPr id="1475586" name="Button 2" hidden="1">
              <a:extLst>
                <a:ext uri="{63B3BB69-23CF-44E3-9099-C40C66FF867C}">
                  <a14:compatExt spid="_x0000_s1475586"/>
                </a:ext>
                <a:ext uri="{FF2B5EF4-FFF2-40B4-BE49-F238E27FC236}">
                  <a16:creationId xmlns:a16="http://schemas.microsoft.com/office/drawing/2014/main" id="{00000000-0008-0000-0600-00000284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Zmień dane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2</xdr:row>
          <xdr:rowOff>7620</xdr:rowOff>
        </xdr:from>
        <xdr:to>
          <xdr:col>2</xdr:col>
          <xdr:colOff>121920</xdr:colOff>
          <xdr:row>3</xdr:row>
          <xdr:rowOff>106680</xdr:rowOff>
        </xdr:to>
        <xdr:sp macro="" textlink="">
          <xdr:nvSpPr>
            <xdr:cNvPr id="1475683" name="Button 99" hidden="1">
              <a:extLst>
                <a:ext uri="{63B3BB69-23CF-44E3-9099-C40C66FF867C}">
                  <a14:compatExt spid="_x0000_s1475683"/>
                </a:ext>
                <a:ext uri="{FF2B5EF4-FFF2-40B4-BE49-F238E27FC236}">
                  <a16:creationId xmlns:a16="http://schemas.microsoft.com/office/drawing/2014/main" id="{00000000-0008-0000-0600-00006384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Koszty roczne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6</xdr:row>
          <xdr:rowOff>137160</xdr:rowOff>
        </xdr:from>
        <xdr:to>
          <xdr:col>2</xdr:col>
          <xdr:colOff>121920</xdr:colOff>
          <xdr:row>8</xdr:row>
          <xdr:rowOff>80010</xdr:rowOff>
        </xdr:to>
        <xdr:sp macro="" textlink="">
          <xdr:nvSpPr>
            <xdr:cNvPr id="1475684" name="Button 100" hidden="1">
              <a:extLst>
                <a:ext uri="{63B3BB69-23CF-44E3-9099-C40C66FF867C}">
                  <a14:compatExt spid="_x0000_s1475684"/>
                </a:ext>
                <a:ext uri="{FF2B5EF4-FFF2-40B4-BE49-F238E27FC236}">
                  <a16:creationId xmlns:a16="http://schemas.microsoft.com/office/drawing/2014/main" id="{82024CD6-F6E5-4683-AEC6-FCF36BF47A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586740</xdr:colOff>
      <xdr:row>1</xdr:row>
      <xdr:rowOff>114300</xdr:rowOff>
    </xdr:from>
    <xdr:to>
      <xdr:col>18</xdr:col>
      <xdr:colOff>60960</xdr:colOff>
      <xdr:row>32</xdr:row>
      <xdr:rowOff>68580</xdr:rowOff>
    </xdr:to>
    <xdr:graphicFrame macro="">
      <xdr:nvGraphicFramePr>
        <xdr:cNvPr id="1476894" name="Wykres 1">
          <a:extLst>
            <a:ext uri="{FF2B5EF4-FFF2-40B4-BE49-F238E27FC236}">
              <a16:creationId xmlns:a16="http://schemas.microsoft.com/office/drawing/2014/main" id="{00000000-0008-0000-0700-00001E891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3</xdr:row>
          <xdr:rowOff>121920</xdr:rowOff>
        </xdr:from>
        <xdr:to>
          <xdr:col>2</xdr:col>
          <xdr:colOff>220980</xdr:colOff>
          <xdr:row>5</xdr:row>
          <xdr:rowOff>7620</xdr:rowOff>
        </xdr:to>
        <xdr:sp macro="" textlink="">
          <xdr:nvSpPr>
            <xdr:cNvPr id="1476609" name="Button 1" hidden="1">
              <a:extLst>
                <a:ext uri="{63B3BB69-23CF-44E3-9099-C40C66FF867C}">
                  <a14:compatExt spid="_x0000_s1476609"/>
                </a:ext>
                <a:ext uri="{FF2B5EF4-FFF2-40B4-BE49-F238E27FC236}">
                  <a16:creationId xmlns:a16="http://schemas.microsoft.com/office/drawing/2014/main" id="{00000000-0008-0000-0700-00000188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5</xdr:row>
          <xdr:rowOff>60960</xdr:rowOff>
        </xdr:from>
        <xdr:to>
          <xdr:col>2</xdr:col>
          <xdr:colOff>228600</xdr:colOff>
          <xdr:row>6</xdr:row>
          <xdr:rowOff>106680</xdr:rowOff>
        </xdr:to>
        <xdr:sp macro="" textlink="">
          <xdr:nvSpPr>
            <xdr:cNvPr id="1476610" name="Button 2" hidden="1">
              <a:extLst>
                <a:ext uri="{63B3BB69-23CF-44E3-9099-C40C66FF867C}">
                  <a14:compatExt spid="_x0000_s1476610"/>
                </a:ext>
                <a:ext uri="{FF2B5EF4-FFF2-40B4-BE49-F238E27FC236}">
                  <a16:creationId xmlns:a16="http://schemas.microsoft.com/office/drawing/2014/main" id="{00000000-0008-0000-0700-00000288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2</xdr:row>
          <xdr:rowOff>15240</xdr:rowOff>
        </xdr:from>
        <xdr:to>
          <xdr:col>2</xdr:col>
          <xdr:colOff>213360</xdr:colOff>
          <xdr:row>3</xdr:row>
          <xdr:rowOff>76200</xdr:rowOff>
        </xdr:to>
        <xdr:sp macro="" textlink="">
          <xdr:nvSpPr>
            <xdr:cNvPr id="1476743" name="Button 135" hidden="1">
              <a:extLst>
                <a:ext uri="{63B3BB69-23CF-44E3-9099-C40C66FF867C}">
                  <a14:compatExt spid="_x0000_s1476743"/>
                </a:ext>
                <a:ext uri="{FF2B5EF4-FFF2-40B4-BE49-F238E27FC236}">
                  <a16:creationId xmlns:a16="http://schemas.microsoft.com/office/drawing/2014/main" id="{00000000-0008-0000-0700-00008788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pl-PL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Całkowite koszty razem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274320</xdr:colOff>
          <xdr:row>6</xdr:row>
          <xdr:rowOff>140970</xdr:rowOff>
        </xdr:from>
        <xdr:to>
          <xdr:col>2</xdr:col>
          <xdr:colOff>213360</xdr:colOff>
          <xdr:row>8</xdr:row>
          <xdr:rowOff>45720</xdr:rowOff>
        </xdr:to>
        <xdr:sp macro="" textlink="">
          <xdr:nvSpPr>
            <xdr:cNvPr id="1476744" name="Button 136" hidden="1">
              <a:extLst>
                <a:ext uri="{63B3BB69-23CF-44E3-9099-C40C66FF867C}">
                  <a14:compatExt spid="_x0000_s1476744"/>
                </a:ext>
                <a:ext uri="{FF2B5EF4-FFF2-40B4-BE49-F238E27FC236}">
                  <a16:creationId xmlns:a16="http://schemas.microsoft.com/office/drawing/2014/main" id="{56D11C27-2033-4F1F-B981-F573C72E0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8</xdr:row>
          <xdr:rowOff>80010</xdr:rowOff>
        </xdr:from>
        <xdr:to>
          <xdr:col>2</xdr:col>
          <xdr:colOff>213360</xdr:colOff>
          <xdr:row>10</xdr:row>
          <xdr:rowOff>60960</xdr:rowOff>
        </xdr:to>
        <xdr:sp macro="" textlink="">
          <xdr:nvSpPr>
            <xdr:cNvPr id="1476745" name="Button 137" hidden="1">
              <a:extLst>
                <a:ext uri="{63B3BB69-23CF-44E3-9099-C40C66FF867C}">
                  <a14:compatExt spid="_x0000_s1476745"/>
                </a:ext>
                <a:ext uri="{FF2B5EF4-FFF2-40B4-BE49-F238E27FC236}">
                  <a16:creationId xmlns:a16="http://schemas.microsoft.com/office/drawing/2014/main" id="{F31C220A-AF37-4069-84DB-03FD707983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Poprzedni &lt;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251460</xdr:colOff>
      <xdr:row>1</xdr:row>
      <xdr:rowOff>83820</xdr:rowOff>
    </xdr:from>
    <xdr:to>
      <xdr:col>18</xdr:col>
      <xdr:colOff>518160</xdr:colOff>
      <xdr:row>30</xdr:row>
      <xdr:rowOff>125730</xdr:rowOff>
    </xdr:to>
    <xdr:graphicFrame macro="">
      <xdr:nvGraphicFramePr>
        <xdr:cNvPr id="1478941" name="Wykres 1">
          <a:extLst>
            <a:ext uri="{FF2B5EF4-FFF2-40B4-BE49-F238E27FC236}">
              <a16:creationId xmlns:a16="http://schemas.microsoft.com/office/drawing/2014/main" id="{00000000-0008-0000-0800-00001D911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4</xdr:row>
          <xdr:rowOff>7620</xdr:rowOff>
        </xdr:from>
        <xdr:to>
          <xdr:col>2</xdr:col>
          <xdr:colOff>129540</xdr:colOff>
          <xdr:row>5</xdr:row>
          <xdr:rowOff>60960</xdr:rowOff>
        </xdr:to>
        <xdr:sp macro="" textlink="">
          <xdr:nvSpPr>
            <xdr:cNvPr id="1478657" name="Button 1" hidden="1">
              <a:extLst>
                <a:ext uri="{63B3BB69-23CF-44E3-9099-C40C66FF867C}">
                  <a14:compatExt spid="_x0000_s1478657"/>
                </a:ext>
                <a:ext uri="{FF2B5EF4-FFF2-40B4-BE49-F238E27FC236}">
                  <a16:creationId xmlns:a16="http://schemas.microsoft.com/office/drawing/2014/main" id="{00000000-0008-0000-0800-00000190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</xdr:row>
          <xdr:rowOff>144780</xdr:rowOff>
        </xdr:from>
        <xdr:to>
          <xdr:col>2</xdr:col>
          <xdr:colOff>129540</xdr:colOff>
          <xdr:row>7</xdr:row>
          <xdr:rowOff>45720</xdr:rowOff>
        </xdr:to>
        <xdr:sp macro="" textlink="">
          <xdr:nvSpPr>
            <xdr:cNvPr id="1478658" name="Button 2" hidden="1">
              <a:extLst>
                <a:ext uri="{63B3BB69-23CF-44E3-9099-C40C66FF867C}">
                  <a14:compatExt spid="_x0000_s1478658"/>
                </a:ext>
                <a:ext uri="{FF2B5EF4-FFF2-40B4-BE49-F238E27FC236}">
                  <a16:creationId xmlns:a16="http://schemas.microsoft.com/office/drawing/2014/main" id="{00000000-0008-0000-0800-00000290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2</xdr:row>
          <xdr:rowOff>30480</xdr:rowOff>
        </xdr:from>
        <xdr:to>
          <xdr:col>2</xdr:col>
          <xdr:colOff>106680</xdr:colOff>
          <xdr:row>3</xdr:row>
          <xdr:rowOff>99060</xdr:rowOff>
        </xdr:to>
        <xdr:sp macro="" textlink="">
          <xdr:nvSpPr>
            <xdr:cNvPr id="1478758" name="Button 102" hidden="1">
              <a:extLst>
                <a:ext uri="{63B3BB69-23CF-44E3-9099-C40C66FF867C}">
                  <a14:compatExt spid="_x0000_s1478758"/>
                </a:ext>
                <a:ext uri="{FF2B5EF4-FFF2-40B4-BE49-F238E27FC236}">
                  <a16:creationId xmlns:a16="http://schemas.microsoft.com/office/drawing/2014/main" id="{00000000-0008-0000-0800-00006690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Koszty roczne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198120</xdr:colOff>
          <xdr:row>7</xdr:row>
          <xdr:rowOff>99060</xdr:rowOff>
        </xdr:from>
        <xdr:to>
          <xdr:col>2</xdr:col>
          <xdr:colOff>106680</xdr:colOff>
          <xdr:row>9</xdr:row>
          <xdr:rowOff>11430</xdr:rowOff>
        </xdr:to>
        <xdr:sp macro="" textlink="">
          <xdr:nvSpPr>
            <xdr:cNvPr id="1478759" name="Button 103" hidden="1">
              <a:extLst>
                <a:ext uri="{63B3BB69-23CF-44E3-9099-C40C66FF867C}">
                  <a14:compatExt spid="_x0000_s1478759"/>
                </a:ext>
                <a:ext uri="{FF2B5EF4-FFF2-40B4-BE49-F238E27FC236}">
                  <a16:creationId xmlns:a16="http://schemas.microsoft.com/office/drawing/2014/main" id="{79987B0B-53F6-4F5C-AEC2-704043C9C2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182880</xdr:colOff>
          <xdr:row>9</xdr:row>
          <xdr:rowOff>49530</xdr:rowOff>
        </xdr:from>
        <xdr:to>
          <xdr:col>2</xdr:col>
          <xdr:colOff>121920</xdr:colOff>
          <xdr:row>10</xdr:row>
          <xdr:rowOff>148590</xdr:rowOff>
        </xdr:to>
        <xdr:sp macro="" textlink="">
          <xdr:nvSpPr>
            <xdr:cNvPr id="1478760" name="Button 104" hidden="1">
              <a:extLst>
                <a:ext uri="{63B3BB69-23CF-44E3-9099-C40C66FF867C}">
                  <a14:compatExt spid="_x0000_s1478760"/>
                </a:ext>
                <a:ext uri="{FF2B5EF4-FFF2-40B4-BE49-F238E27FC236}">
                  <a16:creationId xmlns:a16="http://schemas.microsoft.com/office/drawing/2014/main" id="{836163A9-BB68-4102-9C02-F00CF5A9B5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Poprzedni &lt;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320040</xdr:colOff>
          <xdr:row>3</xdr:row>
          <xdr:rowOff>83820</xdr:rowOff>
        </xdr:from>
        <xdr:to>
          <xdr:col>2</xdr:col>
          <xdr:colOff>266700</xdr:colOff>
          <xdr:row>4</xdr:row>
          <xdr:rowOff>137160</xdr:rowOff>
        </xdr:to>
        <xdr:sp macro="" textlink="">
          <xdr:nvSpPr>
            <xdr:cNvPr id="3438593" name="Button 1" hidden="1">
              <a:extLst>
                <a:ext uri="{63B3BB69-23CF-44E3-9099-C40C66FF867C}">
                  <a14:compatExt spid="_x0000_s3438593"/>
                </a:ext>
                <a:ext uri="{FF2B5EF4-FFF2-40B4-BE49-F238E27FC236}">
                  <a16:creationId xmlns:a16="http://schemas.microsoft.com/office/drawing/2014/main" id="{00000000-0008-0000-0900-000001783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320040</xdr:colOff>
          <xdr:row>5</xdr:row>
          <xdr:rowOff>15240</xdr:rowOff>
        </xdr:from>
        <xdr:to>
          <xdr:col>2</xdr:col>
          <xdr:colOff>274320</xdr:colOff>
          <xdr:row>6</xdr:row>
          <xdr:rowOff>60960</xdr:rowOff>
        </xdr:to>
        <xdr:sp macro="" textlink="">
          <xdr:nvSpPr>
            <xdr:cNvPr id="3438594" name="Button 2" hidden="1">
              <a:extLst>
                <a:ext uri="{63B3BB69-23CF-44E3-9099-C40C66FF867C}">
                  <a14:compatExt spid="_x0000_s3438594"/>
                </a:ext>
                <a:ext uri="{FF2B5EF4-FFF2-40B4-BE49-F238E27FC236}">
                  <a16:creationId xmlns:a16="http://schemas.microsoft.com/office/drawing/2014/main" id="{00000000-0008-0000-0900-000002783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541020</xdr:colOff>
      <xdr:row>1</xdr:row>
      <xdr:rowOff>106680</xdr:rowOff>
    </xdr:from>
    <xdr:to>
      <xdr:col>17</xdr:col>
      <xdr:colOff>601980</xdr:colOff>
      <xdr:row>32</xdr:row>
      <xdr:rowOff>76200</xdr:rowOff>
    </xdr:to>
    <xdr:graphicFrame macro="">
      <xdr:nvGraphicFramePr>
        <xdr:cNvPr id="3438779" name="Wykres 5">
          <a:extLst>
            <a:ext uri="{FF2B5EF4-FFF2-40B4-BE49-F238E27FC236}">
              <a16:creationId xmlns:a16="http://schemas.microsoft.com/office/drawing/2014/main" id="{00000000-0008-0000-0900-0000BB7834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1</xdr:row>
          <xdr:rowOff>167640</xdr:rowOff>
        </xdr:from>
        <xdr:to>
          <xdr:col>2</xdr:col>
          <xdr:colOff>259080</xdr:colOff>
          <xdr:row>3</xdr:row>
          <xdr:rowOff>45720</xdr:rowOff>
        </xdr:to>
        <xdr:sp macro="" textlink="">
          <xdr:nvSpPr>
            <xdr:cNvPr id="3438628" name="Button 36" hidden="1">
              <a:extLst>
                <a:ext uri="{63B3BB69-23CF-44E3-9099-C40C66FF867C}">
                  <a14:compatExt spid="_x0000_s3438628"/>
                </a:ext>
                <a:ext uri="{FF2B5EF4-FFF2-40B4-BE49-F238E27FC236}">
                  <a16:creationId xmlns:a16="http://schemas.microsoft.com/office/drawing/2014/main" id="{00000000-0008-0000-0900-000024783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Koszty eksploatacji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6</xdr:row>
          <xdr:rowOff>99060</xdr:rowOff>
        </xdr:from>
        <xdr:to>
          <xdr:col>2</xdr:col>
          <xdr:colOff>259080</xdr:colOff>
          <xdr:row>7</xdr:row>
          <xdr:rowOff>144780</xdr:rowOff>
        </xdr:to>
        <xdr:sp macro="" textlink="">
          <xdr:nvSpPr>
            <xdr:cNvPr id="3438629" name="Button 37" hidden="1">
              <a:extLst>
                <a:ext uri="{63B3BB69-23CF-44E3-9099-C40C66FF867C}">
                  <a14:compatExt spid="_x0000_s3438629"/>
                </a:ext>
                <a:ext uri="{FF2B5EF4-FFF2-40B4-BE49-F238E27FC236}">
                  <a16:creationId xmlns:a16="http://schemas.microsoft.com/office/drawing/2014/main" id="{FFF48CC7-03FE-4C4E-B875-EAB2BF502B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8</xdr:row>
          <xdr:rowOff>30480</xdr:rowOff>
        </xdr:from>
        <xdr:to>
          <xdr:col>2</xdr:col>
          <xdr:colOff>266700</xdr:colOff>
          <xdr:row>9</xdr:row>
          <xdr:rowOff>91440</xdr:rowOff>
        </xdr:to>
        <xdr:sp macro="" textlink="">
          <xdr:nvSpPr>
            <xdr:cNvPr id="3438630" name="Button 38" hidden="1">
              <a:extLst>
                <a:ext uri="{63B3BB69-23CF-44E3-9099-C40C66FF867C}">
                  <a14:compatExt spid="_x0000_s3438630"/>
                </a:ext>
                <a:ext uri="{FF2B5EF4-FFF2-40B4-BE49-F238E27FC236}">
                  <a16:creationId xmlns:a16="http://schemas.microsoft.com/office/drawing/2014/main" id="{3006604E-599D-4AB3-8B1F-FAF5A84A05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Poprzedni &lt;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601980</xdr:colOff>
      <xdr:row>1</xdr:row>
      <xdr:rowOff>152400</xdr:rowOff>
    </xdr:from>
    <xdr:to>
      <xdr:col>17</xdr:col>
      <xdr:colOff>502920</xdr:colOff>
      <xdr:row>31</xdr:row>
      <xdr:rowOff>38100</xdr:rowOff>
    </xdr:to>
    <xdr:graphicFrame macro="">
      <xdr:nvGraphicFramePr>
        <xdr:cNvPr id="1477917" name="Wykres 1">
          <a:extLst>
            <a:ext uri="{FF2B5EF4-FFF2-40B4-BE49-F238E27FC236}">
              <a16:creationId xmlns:a16="http://schemas.microsoft.com/office/drawing/2014/main" id="{00000000-0008-0000-0A00-00001D8D1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5</xdr:row>
          <xdr:rowOff>118110</xdr:rowOff>
        </xdr:from>
        <xdr:to>
          <xdr:col>2</xdr:col>
          <xdr:colOff>281940</xdr:colOff>
          <xdr:row>7</xdr:row>
          <xdr:rowOff>15240</xdr:rowOff>
        </xdr:to>
        <xdr:sp macro="" textlink="">
          <xdr:nvSpPr>
            <xdr:cNvPr id="1477633" name="Button 1" hidden="1">
              <a:extLst>
                <a:ext uri="{63B3BB69-23CF-44E3-9099-C40C66FF867C}">
                  <a14:compatExt spid="_x0000_s1477633"/>
                </a:ext>
                <a:ext uri="{FF2B5EF4-FFF2-40B4-BE49-F238E27FC236}">
                  <a16:creationId xmlns:a16="http://schemas.microsoft.com/office/drawing/2014/main" id="{00000000-0008-0000-0A00-0000018C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4</xdr:row>
          <xdr:rowOff>30480</xdr:rowOff>
        </xdr:from>
        <xdr:to>
          <xdr:col>2</xdr:col>
          <xdr:colOff>281940</xdr:colOff>
          <xdr:row>5</xdr:row>
          <xdr:rowOff>76200</xdr:rowOff>
        </xdr:to>
        <xdr:sp macro="" textlink="">
          <xdr:nvSpPr>
            <xdr:cNvPr id="1477634" name="Button 2" hidden="1">
              <a:extLst>
                <a:ext uri="{63B3BB69-23CF-44E3-9099-C40C66FF867C}">
                  <a14:compatExt spid="_x0000_s1477634"/>
                </a:ext>
                <a:ext uri="{FF2B5EF4-FFF2-40B4-BE49-F238E27FC236}">
                  <a16:creationId xmlns:a16="http://schemas.microsoft.com/office/drawing/2014/main" id="{00000000-0008-0000-0A00-0000028C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2</xdr:row>
          <xdr:rowOff>45720</xdr:rowOff>
        </xdr:from>
        <xdr:to>
          <xdr:col>2</xdr:col>
          <xdr:colOff>281940</xdr:colOff>
          <xdr:row>3</xdr:row>
          <xdr:rowOff>121920</xdr:rowOff>
        </xdr:to>
        <xdr:sp macro="" textlink="">
          <xdr:nvSpPr>
            <xdr:cNvPr id="1477732" name="Button 100" hidden="1">
              <a:extLst>
                <a:ext uri="{63B3BB69-23CF-44E3-9099-C40C66FF867C}">
                  <a14:compatExt spid="_x0000_s1477732"/>
                </a:ext>
                <a:ext uri="{FF2B5EF4-FFF2-40B4-BE49-F238E27FC236}">
                  <a16:creationId xmlns:a16="http://schemas.microsoft.com/office/drawing/2014/main" id="{00000000-0008-0000-0A00-0000648C16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pl-PL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Okresy zwrotu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7</xdr:row>
          <xdr:rowOff>53340</xdr:rowOff>
        </xdr:from>
        <xdr:to>
          <xdr:col>2</xdr:col>
          <xdr:colOff>274320</xdr:colOff>
          <xdr:row>8</xdr:row>
          <xdr:rowOff>129540</xdr:rowOff>
        </xdr:to>
        <xdr:sp macro="" textlink="">
          <xdr:nvSpPr>
            <xdr:cNvPr id="1477733" name="Button 101" hidden="1">
              <a:extLst>
                <a:ext uri="{63B3BB69-23CF-44E3-9099-C40C66FF867C}">
                  <a14:compatExt spid="_x0000_s1477733"/>
                </a:ext>
                <a:ext uri="{FF2B5EF4-FFF2-40B4-BE49-F238E27FC236}">
                  <a16:creationId xmlns:a16="http://schemas.microsoft.com/office/drawing/2014/main" id="{F2CE60E8-2EB5-475A-963D-4ACAA129BB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327660</xdr:colOff>
          <xdr:row>9</xdr:row>
          <xdr:rowOff>7620</xdr:rowOff>
        </xdr:from>
        <xdr:to>
          <xdr:col>2</xdr:col>
          <xdr:colOff>281940</xdr:colOff>
          <xdr:row>10</xdr:row>
          <xdr:rowOff>76200</xdr:rowOff>
        </xdr:to>
        <xdr:sp macro="" textlink="">
          <xdr:nvSpPr>
            <xdr:cNvPr id="1477734" name="Button 102" hidden="1">
              <a:extLst>
                <a:ext uri="{63B3BB69-23CF-44E3-9099-C40C66FF867C}">
                  <a14:compatExt spid="_x0000_s1477734"/>
                </a:ext>
                <a:ext uri="{FF2B5EF4-FFF2-40B4-BE49-F238E27FC236}">
                  <a16:creationId xmlns:a16="http://schemas.microsoft.com/office/drawing/2014/main" id="{F56C2C52-9E38-4B0E-9778-A1CE33CC1C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Poprzedni &lt;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</xdr:colOff>
          <xdr:row>2</xdr:row>
          <xdr:rowOff>137160</xdr:rowOff>
        </xdr:from>
        <xdr:to>
          <xdr:col>0</xdr:col>
          <xdr:colOff>1394460</xdr:colOff>
          <xdr:row>4</xdr:row>
          <xdr:rowOff>26670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B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4</xdr:row>
          <xdr:rowOff>53340</xdr:rowOff>
        </xdr:from>
        <xdr:to>
          <xdr:col>0</xdr:col>
          <xdr:colOff>1386840</xdr:colOff>
          <xdr:row>5</xdr:row>
          <xdr:rowOff>106680</xdr:rowOff>
        </xdr:to>
        <xdr:sp macro="" textlink="">
          <xdr:nvSpPr>
            <xdr:cNvPr id="2129" name="Button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B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3467100</xdr:colOff>
      <xdr:row>2</xdr:row>
      <xdr:rowOff>68580</xdr:rowOff>
    </xdr:from>
    <xdr:to>
      <xdr:col>6</xdr:col>
      <xdr:colOff>678180</xdr:colOff>
      <xdr:row>17</xdr:row>
      <xdr:rowOff>137160</xdr:rowOff>
    </xdr:to>
    <xdr:graphicFrame macro="">
      <xdr:nvGraphicFramePr>
        <xdr:cNvPr id="4865730" name="Wykres 9">
          <a:extLst>
            <a:ext uri="{FF2B5EF4-FFF2-40B4-BE49-F238E27FC236}">
              <a16:creationId xmlns:a16="http://schemas.microsoft.com/office/drawing/2014/main" id="{00000000-0008-0000-0B00-0000C2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777240</xdr:colOff>
      <xdr:row>18</xdr:row>
      <xdr:rowOff>38100</xdr:rowOff>
    </xdr:from>
    <xdr:to>
      <xdr:col>14</xdr:col>
      <xdr:colOff>30480</xdr:colOff>
      <xdr:row>34</xdr:row>
      <xdr:rowOff>38100</xdr:rowOff>
    </xdr:to>
    <xdr:graphicFrame macro="">
      <xdr:nvGraphicFramePr>
        <xdr:cNvPr id="4865731" name="Wykres 11">
          <a:extLst>
            <a:ext uri="{FF2B5EF4-FFF2-40B4-BE49-F238E27FC236}">
              <a16:creationId xmlns:a16="http://schemas.microsoft.com/office/drawing/2014/main" id="{00000000-0008-0000-0B00-0000C3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91440</xdr:colOff>
      <xdr:row>9</xdr:row>
      <xdr:rowOff>60960</xdr:rowOff>
    </xdr:from>
    <xdr:to>
      <xdr:col>0</xdr:col>
      <xdr:colOff>3383280</xdr:colOff>
      <xdr:row>21</xdr:row>
      <xdr:rowOff>76200</xdr:rowOff>
    </xdr:to>
    <xdr:graphicFrame macro="">
      <xdr:nvGraphicFramePr>
        <xdr:cNvPr id="4865732" name="Wykres 22">
          <a:extLst>
            <a:ext uri="{FF2B5EF4-FFF2-40B4-BE49-F238E27FC236}">
              <a16:creationId xmlns:a16="http://schemas.microsoft.com/office/drawing/2014/main" id="{00000000-0008-0000-0B00-0000C4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91440</xdr:colOff>
      <xdr:row>22</xdr:row>
      <xdr:rowOff>15240</xdr:rowOff>
    </xdr:from>
    <xdr:to>
      <xdr:col>0</xdr:col>
      <xdr:colOff>3390900</xdr:colOff>
      <xdr:row>34</xdr:row>
      <xdr:rowOff>30480</xdr:rowOff>
    </xdr:to>
    <xdr:graphicFrame macro="">
      <xdr:nvGraphicFramePr>
        <xdr:cNvPr id="4865733" name="Wykres 25">
          <a:extLst>
            <a:ext uri="{FF2B5EF4-FFF2-40B4-BE49-F238E27FC236}">
              <a16:creationId xmlns:a16="http://schemas.microsoft.com/office/drawing/2014/main" id="{00000000-0008-0000-0B00-0000C5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3474720</xdr:colOff>
      <xdr:row>18</xdr:row>
      <xdr:rowOff>30480</xdr:rowOff>
    </xdr:from>
    <xdr:to>
      <xdr:col>6</xdr:col>
      <xdr:colOff>678180</xdr:colOff>
      <xdr:row>34</xdr:row>
      <xdr:rowOff>30480</xdr:rowOff>
    </xdr:to>
    <xdr:graphicFrame macro="">
      <xdr:nvGraphicFramePr>
        <xdr:cNvPr id="4865734" name="Wykres 26">
          <a:extLst>
            <a:ext uri="{FF2B5EF4-FFF2-40B4-BE49-F238E27FC236}">
              <a16:creationId xmlns:a16="http://schemas.microsoft.com/office/drawing/2014/main" id="{00000000-0008-0000-0B00-0000C6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777240</xdr:colOff>
      <xdr:row>2</xdr:row>
      <xdr:rowOff>68580</xdr:rowOff>
    </xdr:from>
    <xdr:to>
      <xdr:col>14</xdr:col>
      <xdr:colOff>30480</xdr:colOff>
      <xdr:row>17</xdr:row>
      <xdr:rowOff>144780</xdr:rowOff>
    </xdr:to>
    <xdr:graphicFrame macro="">
      <xdr:nvGraphicFramePr>
        <xdr:cNvPr id="4865735" name="Wykres 26">
          <a:extLst>
            <a:ext uri="{FF2B5EF4-FFF2-40B4-BE49-F238E27FC236}">
              <a16:creationId xmlns:a16="http://schemas.microsoft.com/office/drawing/2014/main" id="{00000000-0008-0000-0B00-0000C73E4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60960</xdr:colOff>
      <xdr:row>3</xdr:row>
      <xdr:rowOff>15240</xdr:rowOff>
    </xdr:from>
    <xdr:to>
      <xdr:col>1</xdr:col>
      <xdr:colOff>342900</xdr:colOff>
      <xdr:row>4</xdr:row>
      <xdr:rowOff>106680</xdr:rowOff>
    </xdr:to>
    <xdr:sp macro="" textlink="">
      <xdr:nvSpPr>
        <xdr:cNvPr id="4865736" name="Prostokąt 1">
          <a:extLst>
            <a:ext uri="{FF2B5EF4-FFF2-40B4-BE49-F238E27FC236}">
              <a16:creationId xmlns:a16="http://schemas.microsoft.com/office/drawing/2014/main" id="{00000000-0008-0000-0B00-0000C83E4A00}"/>
            </a:ext>
          </a:extLst>
        </xdr:cNvPr>
        <xdr:cNvSpPr>
          <a:spLocks noChangeArrowheads="1"/>
        </xdr:cNvSpPr>
      </xdr:nvSpPr>
      <xdr:spPr bwMode="auto">
        <a:xfrm>
          <a:off x="3589020" y="419100"/>
          <a:ext cx="281940" cy="259080"/>
        </a:xfrm>
        <a:prstGeom prst="rect">
          <a:avLst/>
        </a:prstGeom>
        <a:solidFill>
          <a:srgbClr val="FFFF00"/>
        </a:solidFill>
        <a:ln w="317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175260</xdr:colOff>
          <xdr:row>1</xdr:row>
          <xdr:rowOff>53340</xdr:rowOff>
        </xdr:from>
        <xdr:to>
          <xdr:col>0</xdr:col>
          <xdr:colOff>1394460</xdr:colOff>
          <xdr:row>2</xdr:row>
          <xdr:rowOff>106680</xdr:rowOff>
        </xdr:to>
        <xdr:sp macro="" textlink="">
          <xdr:nvSpPr>
            <xdr:cNvPr id="4865232" name="Button 2256" hidden="1">
              <a:extLst>
                <a:ext uri="{63B3BB69-23CF-44E3-9099-C40C66FF867C}">
                  <a14:compatExt spid="_x0000_s4865232"/>
                </a:ext>
                <a:ext uri="{FF2B5EF4-FFF2-40B4-BE49-F238E27FC236}">
                  <a16:creationId xmlns:a16="http://schemas.microsoft.com/office/drawing/2014/main" id="{00000000-0008-0000-0B00-0000D03C4A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pl-PL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Koszty zakumulowane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163830</xdr:colOff>
          <xdr:row>5</xdr:row>
          <xdr:rowOff>121920</xdr:rowOff>
        </xdr:from>
        <xdr:to>
          <xdr:col>0</xdr:col>
          <xdr:colOff>1383030</xdr:colOff>
          <xdr:row>7</xdr:row>
          <xdr:rowOff>22860</xdr:rowOff>
        </xdr:to>
        <xdr:sp macro="" textlink="">
          <xdr:nvSpPr>
            <xdr:cNvPr id="4865233" name="Button 2257" hidden="1">
              <a:extLst>
                <a:ext uri="{63B3BB69-23CF-44E3-9099-C40C66FF867C}">
                  <a14:compatExt spid="_x0000_s4865233"/>
                </a:ext>
                <a:ext uri="{FF2B5EF4-FFF2-40B4-BE49-F238E27FC236}">
                  <a16:creationId xmlns:a16="http://schemas.microsoft.com/office/drawing/2014/main" id="{D893AEDA-8944-485F-9960-9426BA3F0B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Dalej &gt;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0.02511</cdr:x>
      <cdr:y>0.03883</cdr:y>
    </cdr:from>
    <cdr:to>
      <cdr:x>0.08847</cdr:x>
      <cdr:y>0.13542</cdr:y>
    </cdr:to>
    <cdr:sp macro="" textlink="">
      <cdr:nvSpPr>
        <cdr:cNvPr id="2" name="Prostokąt 1"/>
        <cdr:cNvSpPr/>
      </cdr:nvSpPr>
      <cdr:spPr bwMode="auto">
        <a:xfrm xmlns:a="http://schemas.openxmlformats.org/drawingml/2006/main">
          <a:off x="111760" y="104140"/>
          <a:ext cx="281940" cy="259080"/>
        </a:xfrm>
        <a:prstGeom xmlns:a="http://schemas.openxmlformats.org/drawingml/2006/main" prst="rect">
          <a:avLst/>
        </a:prstGeom>
        <a:solidFill xmlns:a="http://schemas.openxmlformats.org/drawingml/2006/main">
          <a:srgbClr val="00B0F0"/>
        </a:solidFill>
        <a:ln xmlns:a="http://schemas.openxmlformats.org/drawingml/2006/main"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rot="0" spcFirstLastPara="0" vert="horz" wrap="square" lIns="18288" tIns="0" rIns="0" bIns="0" numCol="1" spcCol="0" rtlCol="0" fromWordArt="0" anchor="t" anchorCtr="0" forceAA="0" upright="1" compatLnSpc="1">
          <a:prstTxWarp prst="textNoShape">
            <a:avLst/>
          </a:prstTxWarp>
          <a:noAutofit/>
        </a:bodyPr>
        <a:lstStyle xmlns:a="http://schemas.openxmlformats.org/drawingml/2006/main"/>
        <a:p xmlns:a="http://schemas.openxmlformats.org/drawingml/2006/main">
          <a:endParaRPr lang="pl-PL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0.02162</cdr:x>
      <cdr:y>0.04167</cdr:y>
    </cdr:from>
    <cdr:to>
      <cdr:x>0.08476</cdr:x>
      <cdr:y>0.13826</cdr:y>
    </cdr:to>
    <cdr:sp macro="" textlink="">
      <cdr:nvSpPr>
        <cdr:cNvPr id="2" name="Prostokąt 1"/>
        <cdr:cNvSpPr/>
      </cdr:nvSpPr>
      <cdr:spPr bwMode="auto">
        <a:xfrm xmlns:a="http://schemas.openxmlformats.org/drawingml/2006/main">
          <a:off x="96520" y="111760"/>
          <a:ext cx="281940" cy="259080"/>
        </a:xfrm>
        <a:prstGeom xmlns:a="http://schemas.openxmlformats.org/drawingml/2006/main" prst="rect">
          <a:avLst/>
        </a:prstGeom>
        <a:solidFill xmlns:a="http://schemas.openxmlformats.org/drawingml/2006/main">
          <a:srgbClr val="F1A069"/>
        </a:solidFill>
        <a:ln xmlns:a="http://schemas.openxmlformats.org/drawingml/2006/main"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rot="0" spcFirstLastPara="0" vert="horz" wrap="square" lIns="18288" tIns="0" rIns="0" bIns="0" numCol="1" spcCol="0" rtlCol="0" fromWordArt="0" anchor="t" anchorCtr="0" forceAA="0" upright="1" compatLnSpc="1">
          <a:prstTxWarp prst="textNoShape">
            <a:avLst/>
          </a:prstTxWarp>
          <a:noAutofit/>
        </a:bodyPr>
        <a:lstStyle xmlns:a="http://schemas.openxmlformats.org/drawingml/2006/main"/>
        <a:p xmlns:a="http://schemas.openxmlformats.org/drawingml/2006/main">
          <a:endParaRPr lang="pl-PL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0.01998</cdr:x>
      <cdr:y>0.04301</cdr:y>
    </cdr:from>
    <cdr:to>
      <cdr:x>0.08333</cdr:x>
      <cdr:y>0.14272</cdr:y>
    </cdr:to>
    <cdr:sp macro="" textlink="">
      <cdr:nvSpPr>
        <cdr:cNvPr id="2" name="Prostokąt 1"/>
        <cdr:cNvSpPr/>
      </cdr:nvSpPr>
      <cdr:spPr bwMode="auto">
        <a:xfrm xmlns:a="http://schemas.openxmlformats.org/drawingml/2006/main">
          <a:off x="88900" y="111760"/>
          <a:ext cx="281940" cy="259080"/>
        </a:xfrm>
        <a:prstGeom xmlns:a="http://schemas.openxmlformats.org/drawingml/2006/main" prst="rect">
          <a:avLst/>
        </a:prstGeom>
        <a:solidFill xmlns:a="http://schemas.openxmlformats.org/drawingml/2006/main">
          <a:srgbClr val="FFCCFF"/>
        </a:solidFill>
        <a:ln xmlns:a="http://schemas.openxmlformats.org/drawingml/2006/main"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rot="0" spcFirstLastPara="0" vert="horz" wrap="square" lIns="18288" tIns="0" rIns="0" bIns="0" numCol="1" spcCol="0" rtlCol="0" fromWordArt="0" anchor="t" anchorCtr="0" forceAA="0" upright="1" compatLnSpc="1">
          <a:prstTxWarp prst="textNoShape">
            <a:avLst/>
          </a:prstTxWarp>
          <a:noAutofit/>
        </a:bodyPr>
        <a:lstStyle xmlns:a="http://schemas.openxmlformats.org/drawingml/2006/main"/>
        <a:p xmlns:a="http://schemas.openxmlformats.org/drawingml/2006/main">
          <a:endParaRPr lang="pl-PL"/>
        </a:p>
      </cdr:txBody>
    </cdr:sp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2</xdr:row>
          <xdr:rowOff>38100</xdr:rowOff>
        </xdr:from>
        <xdr:to>
          <xdr:col>2</xdr:col>
          <xdr:colOff>232410</xdr:colOff>
          <xdr:row>3</xdr:row>
          <xdr:rowOff>80010</xdr:rowOff>
        </xdr:to>
        <xdr:sp macro="" textlink="">
          <xdr:nvSpPr>
            <xdr:cNvPr id="5357569" name="Button 1" hidden="1">
              <a:extLst>
                <a:ext uri="{63B3BB69-23CF-44E3-9099-C40C66FF867C}">
                  <a14:compatExt spid="_x0000_s5357569"/>
                </a:ext>
                <a:ext uri="{FF2B5EF4-FFF2-40B4-BE49-F238E27FC236}">
                  <a16:creationId xmlns:a16="http://schemas.microsoft.com/office/drawing/2014/main" id="{00000000-0008-0000-0C00-000001C05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281940</xdr:colOff>
          <xdr:row>3</xdr:row>
          <xdr:rowOff>140970</xdr:rowOff>
        </xdr:from>
        <xdr:to>
          <xdr:col>2</xdr:col>
          <xdr:colOff>236220</xdr:colOff>
          <xdr:row>5</xdr:row>
          <xdr:rowOff>30480</xdr:rowOff>
        </xdr:to>
        <xdr:sp macro="" textlink="">
          <xdr:nvSpPr>
            <xdr:cNvPr id="5357570" name="Button 2" hidden="1">
              <a:extLst>
                <a:ext uri="{63B3BB69-23CF-44E3-9099-C40C66FF867C}">
                  <a14:compatExt spid="_x0000_s5357570"/>
                </a:ext>
                <a:ext uri="{FF2B5EF4-FFF2-40B4-BE49-F238E27FC236}">
                  <a16:creationId xmlns:a16="http://schemas.microsoft.com/office/drawing/2014/main" id="{00000000-0008-0000-0C00-000002C05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Dane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323850</xdr:colOff>
      <xdr:row>1</xdr:row>
      <xdr:rowOff>106680</xdr:rowOff>
    </xdr:from>
    <xdr:to>
      <xdr:col>19</xdr:col>
      <xdr:colOff>445770</xdr:colOff>
      <xdr:row>30</xdr:row>
      <xdr:rowOff>102870</xdr:rowOff>
    </xdr:to>
    <xdr:graphicFrame macro="">
      <xdr:nvGraphicFramePr>
        <xdr:cNvPr id="5357691" name="Wykres 5">
          <a:extLst>
            <a:ext uri="{FF2B5EF4-FFF2-40B4-BE49-F238E27FC236}">
              <a16:creationId xmlns:a16="http://schemas.microsoft.com/office/drawing/2014/main" id="{00000000-0008-0000-0C00-00007BC0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5</xdr:row>
          <xdr:rowOff>64770</xdr:rowOff>
        </xdr:from>
        <xdr:to>
          <xdr:col>2</xdr:col>
          <xdr:colOff>243840</xdr:colOff>
          <xdr:row>6</xdr:row>
          <xdr:rowOff>140970</xdr:rowOff>
        </xdr:to>
        <xdr:sp macro="" textlink="">
          <xdr:nvSpPr>
            <xdr:cNvPr id="5357571" name="Button 3" hidden="1">
              <a:extLst>
                <a:ext uri="{63B3BB69-23CF-44E3-9099-C40C66FF867C}">
                  <a14:compatExt spid="_x0000_s5357571"/>
                </a:ext>
                <a:ext uri="{FF2B5EF4-FFF2-40B4-BE49-F238E27FC236}">
                  <a16:creationId xmlns:a16="http://schemas.microsoft.com/office/drawing/2014/main" id="{1B5881D6-C7E6-4F6C-ABBA-8B18F70A02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Poprzedni &lt;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312420</xdr:colOff>
      <xdr:row>3</xdr:row>
      <xdr:rowOff>45720</xdr:rowOff>
    </xdr:from>
    <xdr:to>
      <xdr:col>14</xdr:col>
      <xdr:colOff>99060</xdr:colOff>
      <xdr:row>23</xdr:row>
      <xdr:rowOff>76200</xdr:rowOff>
    </xdr:to>
    <xdr:graphicFrame macro="">
      <xdr:nvGraphicFramePr>
        <xdr:cNvPr id="6194261" name="Wykres 3">
          <a:extLst>
            <a:ext uri="{FF2B5EF4-FFF2-40B4-BE49-F238E27FC236}">
              <a16:creationId xmlns:a16="http://schemas.microsoft.com/office/drawing/2014/main" id="{00000000-0008-0000-0D00-000055845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525780</xdr:colOff>
      <xdr:row>3</xdr:row>
      <xdr:rowOff>45720</xdr:rowOff>
    </xdr:from>
    <xdr:to>
      <xdr:col>8</xdr:col>
      <xdr:colOff>259080</xdr:colOff>
      <xdr:row>23</xdr:row>
      <xdr:rowOff>83820</xdr:rowOff>
    </xdr:to>
    <xdr:graphicFrame macro="">
      <xdr:nvGraphicFramePr>
        <xdr:cNvPr id="6194262" name="Wykres 4">
          <a:extLst>
            <a:ext uri="{FF2B5EF4-FFF2-40B4-BE49-F238E27FC236}">
              <a16:creationId xmlns:a16="http://schemas.microsoft.com/office/drawing/2014/main" id="{00000000-0008-0000-0D00-000056845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144780</xdr:colOff>
      <xdr:row>3</xdr:row>
      <xdr:rowOff>45720</xdr:rowOff>
    </xdr:from>
    <xdr:to>
      <xdr:col>19</xdr:col>
      <xdr:colOff>541020</xdr:colOff>
      <xdr:row>23</xdr:row>
      <xdr:rowOff>83820</xdr:rowOff>
    </xdr:to>
    <xdr:graphicFrame macro="">
      <xdr:nvGraphicFramePr>
        <xdr:cNvPr id="6194263" name="Wykres 4">
          <a:extLst>
            <a:ext uri="{FF2B5EF4-FFF2-40B4-BE49-F238E27FC236}">
              <a16:creationId xmlns:a16="http://schemas.microsoft.com/office/drawing/2014/main" id="{00000000-0008-0000-0D00-000057845E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2</xdr:row>
          <xdr:rowOff>22860</xdr:rowOff>
        </xdr:from>
        <xdr:to>
          <xdr:col>2</xdr:col>
          <xdr:colOff>198120</xdr:colOff>
          <xdr:row>3</xdr:row>
          <xdr:rowOff>76200</xdr:rowOff>
        </xdr:to>
        <xdr:sp macro="" textlink="">
          <xdr:nvSpPr>
            <xdr:cNvPr id="6194193" name="Button 17" hidden="1">
              <a:extLst>
                <a:ext uri="{63B3BB69-23CF-44E3-9099-C40C66FF867C}">
                  <a14:compatExt spid="_x0000_s6194193"/>
                </a:ext>
                <a:ext uri="{FF2B5EF4-FFF2-40B4-BE49-F238E27FC236}">
                  <a16:creationId xmlns:a16="http://schemas.microsoft.com/office/drawing/2014/main" id="{00000000-0008-0000-0D00-000011845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Wyniki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236220</xdr:colOff>
          <xdr:row>3</xdr:row>
          <xdr:rowOff>114300</xdr:rowOff>
        </xdr:from>
        <xdr:to>
          <xdr:col>2</xdr:col>
          <xdr:colOff>190500</xdr:colOff>
          <xdr:row>4</xdr:row>
          <xdr:rowOff>160020</xdr:rowOff>
        </xdr:to>
        <xdr:sp macro="" textlink="">
          <xdr:nvSpPr>
            <xdr:cNvPr id="6194194" name="Button 18" hidden="1">
              <a:extLst>
                <a:ext uri="{63B3BB69-23CF-44E3-9099-C40C66FF867C}">
                  <a14:compatExt spid="_x0000_s6194194"/>
                </a:ext>
                <a:ext uri="{FF2B5EF4-FFF2-40B4-BE49-F238E27FC236}">
                  <a16:creationId xmlns:a16="http://schemas.microsoft.com/office/drawing/2014/main" id="{00000000-0008-0000-0D00-000012845E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pl-PL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Zmień dane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hman%20Pawe&#322;/Desktop/VI%20Kongres%20PORT%20PC/Arkusze%20na%20www/VDI%202067%20stare%20budynki%20w%20beta%2025%20bez%20ch&#322;odzen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budynku 1"/>
      <sheetName val="Dane sprawność 2"/>
      <sheetName val="Dane koszty inwestycyjne 3"/>
      <sheetName val="Dane eksploatacja 4"/>
      <sheetName val="Start"/>
      <sheetName val="Wyniki koszty"/>
      <sheetName val="Koszty inwestycyjne"/>
      <sheetName val="Koszty r."/>
      <sheetName val="Koszty r. suma"/>
      <sheetName val="Koszty r. %"/>
      <sheetName val="Koszty eksploatacji"/>
      <sheetName val="Zestawienie"/>
      <sheetName val="Wykres kosztów zakumulowanych"/>
      <sheetName val="Koszt energii elektrycznej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2">
          <cell r="C22">
            <v>0.02</v>
          </cell>
        </row>
        <row r="23">
          <cell r="C23">
            <v>15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5" Type="http://schemas.openxmlformats.org/officeDocument/2006/relationships/ctrlProp" Target="../ctrlProps/ctrlProp9.xml"/><Relationship Id="rId10" Type="http://schemas.openxmlformats.org/officeDocument/2006/relationships/ctrlProp" Target="../ctrlProps/ctrlProp14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1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/><Relationship Id="rId13" Type="http://schemas.openxmlformats.org/officeDocument/2006/relationships/ctrlProp" Target="../ctrlProps/ctrlProp26.xml"/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20.xml"/><Relationship Id="rId12" Type="http://schemas.openxmlformats.org/officeDocument/2006/relationships/ctrlProp" Target="../ctrlProps/ctrlProp25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19.xml"/><Relationship Id="rId11" Type="http://schemas.openxmlformats.org/officeDocument/2006/relationships/ctrlProp" Target="../ctrlProps/ctrlProp24.xml"/><Relationship Id="rId5" Type="http://schemas.openxmlformats.org/officeDocument/2006/relationships/ctrlProp" Target="../ctrlProps/ctrlProp18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23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22.xml"/><Relationship Id="rId14" Type="http://schemas.openxmlformats.org/officeDocument/2006/relationships/ctrlProp" Target="../ctrlProps/ctrlProp2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1.xml"/><Relationship Id="rId13" Type="http://schemas.openxmlformats.org/officeDocument/2006/relationships/comments" Target="../comments2.xml"/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30.xml"/><Relationship Id="rId12" Type="http://schemas.openxmlformats.org/officeDocument/2006/relationships/ctrlProp" Target="../ctrlProps/ctrlProp35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29.xml"/><Relationship Id="rId11" Type="http://schemas.openxmlformats.org/officeDocument/2006/relationships/ctrlProp" Target="../ctrlProps/ctrlProp34.xml"/><Relationship Id="rId5" Type="http://schemas.openxmlformats.org/officeDocument/2006/relationships/ctrlProp" Target="../ctrlProps/ctrlProp28.xml"/><Relationship Id="rId10" Type="http://schemas.openxmlformats.org/officeDocument/2006/relationships/ctrlProp" Target="../ctrlProps/ctrlProp33.xml"/><Relationship Id="rId4" Type="http://schemas.openxmlformats.org/officeDocument/2006/relationships/vmlDrawing" Target="../drawings/vmlDrawing4.vml"/><Relationship Id="rId9" Type="http://schemas.openxmlformats.org/officeDocument/2006/relationships/ctrlProp" Target="../ctrlProps/ctrlProp3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comments" Target="../comments3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37.xml"/><Relationship Id="rId5" Type="http://schemas.openxmlformats.org/officeDocument/2006/relationships/ctrlProp" Target="../ctrlProps/ctrlProp36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drawing" Target="../drawings/drawing6.xml"/><Relationship Id="rId7" Type="http://schemas.openxmlformats.org/officeDocument/2006/relationships/ctrlProp" Target="../ctrlProps/ctrlProp40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4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6.xml"/><Relationship Id="rId3" Type="http://schemas.openxmlformats.org/officeDocument/2006/relationships/drawing" Target="../drawings/drawing7.xml"/><Relationship Id="rId7" Type="http://schemas.openxmlformats.org/officeDocument/2006/relationships/ctrlProp" Target="../ctrlProps/ctrlProp45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44.xml"/><Relationship Id="rId5" Type="http://schemas.openxmlformats.org/officeDocument/2006/relationships/ctrlProp" Target="../ctrlProps/ctrlProp43.xml"/><Relationship Id="rId4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0.xml"/><Relationship Id="rId3" Type="http://schemas.openxmlformats.org/officeDocument/2006/relationships/drawing" Target="../drawings/drawing8.xml"/><Relationship Id="rId7" Type="http://schemas.openxmlformats.org/officeDocument/2006/relationships/ctrlProp" Target="../ctrlProps/ctrlProp49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48.xml"/><Relationship Id="rId5" Type="http://schemas.openxmlformats.org/officeDocument/2006/relationships/ctrlProp" Target="../ctrlProps/ctrlProp47.xml"/><Relationship Id="rId4" Type="http://schemas.openxmlformats.org/officeDocument/2006/relationships/vmlDrawing" Target="../drawings/vmlDrawing8.vml"/><Relationship Id="rId9" Type="http://schemas.openxmlformats.org/officeDocument/2006/relationships/ctrlProp" Target="../ctrlProps/ctrlProp5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6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55.xml"/><Relationship Id="rId2" Type="http://schemas.openxmlformats.org/officeDocument/2006/relationships/drawing" Target="../drawings/drawing9.xml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54.xml"/><Relationship Id="rId5" Type="http://schemas.openxmlformats.org/officeDocument/2006/relationships/ctrlProp" Target="../ctrlProps/ctrlProp53.xml"/><Relationship Id="rId4" Type="http://schemas.openxmlformats.org/officeDocument/2006/relationships/ctrlProp" Target="../ctrlProps/ctrlProp52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60.xml"/><Relationship Id="rId2" Type="http://schemas.openxmlformats.org/officeDocument/2006/relationships/drawing" Target="../drawings/drawing10.xml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59.xml"/><Relationship Id="rId5" Type="http://schemas.openxmlformats.org/officeDocument/2006/relationships/ctrlProp" Target="../ctrlProps/ctrlProp58.xml"/><Relationship Id="rId4" Type="http://schemas.openxmlformats.org/officeDocument/2006/relationships/ctrlProp" Target="../ctrlProps/ctrlProp5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6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65.xml"/><Relationship Id="rId2" Type="http://schemas.openxmlformats.org/officeDocument/2006/relationships/drawing" Target="../drawings/drawing11.xml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64.xml"/><Relationship Id="rId5" Type="http://schemas.openxmlformats.org/officeDocument/2006/relationships/ctrlProp" Target="../ctrlProps/ctrlProp63.xml"/><Relationship Id="rId4" Type="http://schemas.openxmlformats.org/officeDocument/2006/relationships/ctrlProp" Target="../ctrlProps/ctrlProp62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0.xml"/><Relationship Id="rId3" Type="http://schemas.openxmlformats.org/officeDocument/2006/relationships/drawing" Target="../drawings/drawing12.xml"/><Relationship Id="rId7" Type="http://schemas.openxmlformats.org/officeDocument/2006/relationships/ctrlProp" Target="../ctrlProps/ctrlProp6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68.xml"/><Relationship Id="rId5" Type="http://schemas.openxmlformats.org/officeDocument/2006/relationships/ctrlProp" Target="../ctrlProps/ctrlProp67.xml"/><Relationship Id="rId4" Type="http://schemas.openxmlformats.org/officeDocument/2006/relationships/vmlDrawing" Target="../drawings/vmlDrawing12.vml"/><Relationship Id="rId9" Type="http://schemas.openxmlformats.org/officeDocument/2006/relationships/comments" Target="../comments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7" Type="http://schemas.openxmlformats.org/officeDocument/2006/relationships/ctrlProp" Target="../ctrlProps/ctrlProp73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72.xml"/><Relationship Id="rId5" Type="http://schemas.openxmlformats.org/officeDocument/2006/relationships/ctrlProp" Target="../ctrlProps/ctrlProp71.xml"/><Relationship Id="rId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mailto:pawel.lachman@portpc.pl" TargetMode="External"/><Relationship Id="rId6" Type="http://schemas.openxmlformats.org/officeDocument/2006/relationships/ctrlProp" Target="../ctrlProps/ctrlProp75.xml"/><Relationship Id="rId5" Type="http://schemas.openxmlformats.org/officeDocument/2006/relationships/ctrlProp" Target="../ctrlProps/ctrlProp74.xml"/><Relationship Id="rId4" Type="http://schemas.openxmlformats.org/officeDocument/2006/relationships/vmlDrawing" Target="../drawings/vmlDrawing1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9">
    <pageSetUpPr fitToPage="1"/>
  </sheetPr>
  <dimension ref="A1:O233"/>
  <sheetViews>
    <sheetView showGridLines="0" showRowColHeaders="0" showZeros="0" tabSelected="1" zoomScale="85" zoomScaleNormal="85" workbookViewId="0">
      <selection activeCell="C11" sqref="C11"/>
    </sheetView>
  </sheetViews>
  <sheetFormatPr defaultColWidth="11.44140625" defaultRowHeight="12.9" x14ac:dyDescent="0.5"/>
  <cols>
    <col min="1" max="1" width="5.88671875" style="4" customWidth="1"/>
    <col min="2" max="2" width="51.5546875" style="4" customWidth="1"/>
    <col min="3" max="3" width="19.44140625" style="4" customWidth="1"/>
    <col min="4" max="4" width="12.33203125" style="4" customWidth="1"/>
    <col min="5" max="5" width="3" style="4" customWidth="1"/>
    <col min="6" max="6" width="10.77734375" style="4" customWidth="1"/>
    <col min="7" max="9" width="15.109375" style="4" customWidth="1"/>
    <col min="10" max="10" width="16.6640625" style="4" customWidth="1"/>
    <col min="11" max="16384" width="11.44140625" style="4"/>
  </cols>
  <sheetData>
    <row r="1" spans="1:9" ht="19.5" thickBot="1" x14ac:dyDescent="0.75">
      <c r="B1" s="189" t="s">
        <v>168</v>
      </c>
      <c r="C1" s="189"/>
      <c r="D1" s="189"/>
      <c r="E1" s="189"/>
    </row>
    <row r="2" spans="1:9" ht="13.2" thickTop="1" x14ac:dyDescent="0.5"/>
    <row r="5" spans="1:9" ht="14.4" x14ac:dyDescent="0.55000000000000004">
      <c r="B5" s="218"/>
    </row>
    <row r="6" spans="1:9" ht="14.4" x14ac:dyDescent="0.5">
      <c r="B6" s="241" t="s">
        <v>177</v>
      </c>
      <c r="C6" s="181" t="s">
        <v>115</v>
      </c>
    </row>
    <row r="7" spans="1:9" ht="14.4" x14ac:dyDescent="0.5">
      <c r="A7" s="7"/>
      <c r="B7" s="238" t="s">
        <v>67</v>
      </c>
      <c r="C7" s="187" t="s">
        <v>81</v>
      </c>
    </row>
    <row r="9" spans="1:9" ht="18" customHeight="1" x14ac:dyDescent="0.7">
      <c r="B9" s="9" t="s">
        <v>181</v>
      </c>
      <c r="C9" s="10"/>
      <c r="D9" s="10"/>
      <c r="E9" s="10"/>
      <c r="F9" s="10"/>
      <c r="G9" s="10"/>
      <c r="H9" s="10"/>
      <c r="I9" s="11"/>
    </row>
    <row r="10" spans="1:9" ht="6" customHeight="1" x14ac:dyDescent="0.7">
      <c r="B10" s="35"/>
      <c r="I10" s="14"/>
    </row>
    <row r="11" spans="1:9" ht="15" customHeight="1" x14ac:dyDescent="0.5">
      <c r="B11" s="12" t="s">
        <v>109</v>
      </c>
      <c r="C11" s="200">
        <v>130</v>
      </c>
      <c r="D11" s="13" t="s">
        <v>83</v>
      </c>
      <c r="E11" s="13"/>
      <c r="I11" s="14"/>
    </row>
    <row r="12" spans="1:9" ht="15" customHeight="1" x14ac:dyDescent="0.5">
      <c r="B12" s="12" t="s">
        <v>87</v>
      </c>
      <c r="C12" s="200">
        <v>40</v>
      </c>
      <c r="D12" s="13" t="s">
        <v>155</v>
      </c>
      <c r="E12" s="13"/>
      <c r="F12" s="129"/>
      <c r="I12" s="14"/>
    </row>
    <row r="13" spans="1:9" ht="15" customHeight="1" x14ac:dyDescent="0.55000000000000004">
      <c r="B13" s="12" t="s">
        <v>179</v>
      </c>
      <c r="C13" s="200">
        <v>4</v>
      </c>
      <c r="D13" s="15" t="s">
        <v>220</v>
      </c>
      <c r="E13" s="15"/>
      <c r="F13" s="129"/>
      <c r="I13" s="14"/>
    </row>
    <row r="14" spans="1:9" ht="15" customHeight="1" x14ac:dyDescent="0.55000000000000004">
      <c r="B14" s="12" t="s">
        <v>75</v>
      </c>
      <c r="C14" s="200">
        <v>50</v>
      </c>
      <c r="D14" s="15" t="s">
        <v>213</v>
      </c>
      <c r="E14" s="15"/>
      <c r="F14" s="129"/>
      <c r="I14" s="14"/>
    </row>
    <row r="15" spans="1:9" ht="15" customHeight="1" x14ac:dyDescent="0.55000000000000004">
      <c r="B15" s="12" t="s">
        <v>180</v>
      </c>
      <c r="C15" s="200">
        <v>55</v>
      </c>
      <c r="D15" s="16" t="s">
        <v>85</v>
      </c>
      <c r="E15" s="16"/>
      <c r="F15" s="129"/>
      <c r="I15" s="14"/>
    </row>
    <row r="16" spans="1:9" ht="15" customHeight="1" x14ac:dyDescent="0.55000000000000004">
      <c r="B16" s="12" t="s">
        <v>78</v>
      </c>
      <c r="C16" s="200">
        <v>10</v>
      </c>
      <c r="D16" s="16" t="s">
        <v>85</v>
      </c>
      <c r="E16" s="16"/>
      <c r="F16" s="264" t="s">
        <v>110</v>
      </c>
      <c r="I16" s="14"/>
    </row>
    <row r="17" spans="2:11" ht="15" customHeight="1" x14ac:dyDescent="0.55000000000000004">
      <c r="B17" s="12" t="s">
        <v>88</v>
      </c>
      <c r="C17" s="201">
        <f>C11*C12</f>
        <v>5200</v>
      </c>
      <c r="D17" s="13" t="s">
        <v>90</v>
      </c>
      <c r="E17" s="13"/>
      <c r="F17" s="247">
        <f>C17/C19</f>
        <v>0.57569886520896763</v>
      </c>
      <c r="I17" s="14"/>
    </row>
    <row r="18" spans="2:11" ht="15" customHeight="1" x14ac:dyDescent="0.55000000000000004">
      <c r="B18" s="17" t="s">
        <v>79</v>
      </c>
      <c r="C18" s="201">
        <f>ROUND(C13*C14*4.2*(C15-C16)*365/(10^3)/3.6,3)</f>
        <v>3832.5</v>
      </c>
      <c r="D18" s="15" t="s">
        <v>3</v>
      </c>
      <c r="E18" s="15"/>
      <c r="F18" s="248">
        <f>C18/C19</f>
        <v>0.42430113479103237</v>
      </c>
      <c r="I18" s="14"/>
    </row>
    <row r="19" spans="2:11" ht="15" customHeight="1" x14ac:dyDescent="0.55000000000000004">
      <c r="B19" s="19" t="s">
        <v>91</v>
      </c>
      <c r="C19" s="201">
        <f>C18+C17</f>
        <v>9032.5</v>
      </c>
      <c r="D19" s="15" t="s">
        <v>3</v>
      </c>
      <c r="E19" s="15"/>
      <c r="F19" s="265">
        <f>C19/C19</f>
        <v>1</v>
      </c>
      <c r="G19" s="20"/>
      <c r="H19" s="20"/>
      <c r="I19" s="14"/>
    </row>
    <row r="20" spans="2:11" ht="15" customHeight="1" x14ac:dyDescent="0.55000000000000004">
      <c r="B20" s="28" t="s">
        <v>97</v>
      </c>
      <c r="C20" s="200">
        <v>1500</v>
      </c>
      <c r="D20" s="15" t="s">
        <v>3</v>
      </c>
      <c r="E20" s="15"/>
      <c r="G20" s="20"/>
      <c r="H20" s="20"/>
      <c r="I20" s="14"/>
    </row>
    <row r="21" spans="2:11" ht="15" customHeight="1" x14ac:dyDescent="0.55000000000000004">
      <c r="B21" s="19" t="s">
        <v>198</v>
      </c>
      <c r="C21" s="203">
        <v>0.02</v>
      </c>
      <c r="D21" s="15" t="s">
        <v>199</v>
      </c>
      <c r="E21" s="15"/>
      <c r="G21" s="20"/>
      <c r="H21" s="20"/>
      <c r="I21" s="14"/>
    </row>
    <row r="22" spans="2:11" ht="15" customHeight="1" x14ac:dyDescent="0.55000000000000004">
      <c r="B22" s="19" t="s">
        <v>30</v>
      </c>
      <c r="C22" s="203">
        <v>2.5999999999999999E-2</v>
      </c>
      <c r="D22" s="15" t="s">
        <v>199</v>
      </c>
      <c r="G22" s="20"/>
      <c r="H22" s="20"/>
      <c r="I22" s="14"/>
    </row>
    <row r="23" spans="2:11" ht="15" hidden="1" customHeight="1" x14ac:dyDescent="0.55000000000000004">
      <c r="B23" s="19" t="s">
        <v>32</v>
      </c>
      <c r="C23" s="202">
        <v>0</v>
      </c>
      <c r="G23" s="20"/>
      <c r="H23" s="20"/>
      <c r="I23" s="14"/>
    </row>
    <row r="24" spans="2:11" ht="15" customHeight="1" x14ac:dyDescent="0.55000000000000004">
      <c r="B24" s="19" t="s">
        <v>140</v>
      </c>
      <c r="C24" s="200">
        <v>15</v>
      </c>
      <c r="D24" s="218" t="s">
        <v>82</v>
      </c>
      <c r="E24" s="18"/>
      <c r="G24" s="20"/>
      <c r="H24" s="20"/>
      <c r="I24" s="14"/>
    </row>
    <row r="25" spans="2:11" ht="15" customHeight="1" x14ac:dyDescent="0.55000000000000004">
      <c r="B25" s="19" t="s">
        <v>222</v>
      </c>
      <c r="C25" s="202">
        <v>0.3</v>
      </c>
      <c r="D25" s="218"/>
      <c r="E25" s="18"/>
      <c r="G25" s="20"/>
      <c r="H25" s="20"/>
      <c r="I25" s="14"/>
    </row>
    <row r="26" spans="2:11" ht="9" customHeight="1" x14ac:dyDescent="0.5">
      <c r="B26" s="23"/>
      <c r="C26" s="180"/>
      <c r="F26" s="18"/>
      <c r="G26" s="20"/>
      <c r="H26" s="20"/>
      <c r="I26" s="14"/>
    </row>
    <row r="27" spans="2:11" x14ac:dyDescent="0.5">
      <c r="B27" s="182" t="s">
        <v>92</v>
      </c>
      <c r="I27" s="14"/>
    </row>
    <row r="28" spans="2:11" x14ac:dyDescent="0.5">
      <c r="B28" s="183" t="s">
        <v>66</v>
      </c>
      <c r="C28" s="274">
        <f>C19/'Dane sprawność 2'!I18*1.25/1000</f>
        <v>3.2694444444444444</v>
      </c>
      <c r="D28"/>
      <c r="E28"/>
      <c r="F28"/>
      <c r="I28" s="14"/>
      <c r="K28" s="128"/>
    </row>
    <row r="29" spans="2:11" x14ac:dyDescent="0.5">
      <c r="B29" s="23"/>
      <c r="C29"/>
      <c r="D29"/>
      <c r="E29"/>
      <c r="F29"/>
      <c r="I29" s="14"/>
    </row>
    <row r="30" spans="2:11" ht="9.75" customHeight="1" x14ac:dyDescent="0.5">
      <c r="B30" s="279" t="s">
        <v>134</v>
      </c>
      <c r="C30" s="280"/>
      <c r="D30" s="280"/>
      <c r="E30" s="280"/>
      <c r="F30" s="280"/>
      <c r="G30" s="280"/>
      <c r="H30" s="280"/>
      <c r="I30" s="281"/>
    </row>
    <row r="31" spans="2:11" ht="18.600000000000001" customHeight="1" x14ac:dyDescent="0.5">
      <c r="B31" s="282"/>
      <c r="C31" s="283"/>
      <c r="D31" s="283"/>
      <c r="E31" s="283"/>
      <c r="F31" s="283"/>
      <c r="G31" s="283"/>
      <c r="H31" s="283"/>
      <c r="I31" s="284"/>
    </row>
    <row r="32" spans="2:11" ht="15.6" customHeight="1" x14ac:dyDescent="0.55000000000000004">
      <c r="B32" s="104"/>
      <c r="C32" s="80"/>
      <c r="D32" s="80"/>
      <c r="E32" s="80"/>
      <c r="F32" s="80"/>
    </row>
    <row r="33" spans="2:6" ht="21" customHeight="1" x14ac:dyDescent="0.55000000000000004">
      <c r="B33" s="104"/>
      <c r="C33" s="80"/>
      <c r="D33" s="80"/>
      <c r="E33" s="80"/>
      <c r="F33" s="80"/>
    </row>
    <row r="34" spans="2:6" ht="14.4" x14ac:dyDescent="0.55000000000000004">
      <c r="B34" s="104"/>
      <c r="C34" s="80"/>
      <c r="D34" s="80"/>
      <c r="E34" s="80"/>
      <c r="F34" s="80"/>
    </row>
    <row r="35" spans="2:6" ht="15" customHeight="1" x14ac:dyDescent="0.55000000000000004">
      <c r="B35" s="104"/>
      <c r="C35" s="80"/>
      <c r="D35" s="80"/>
      <c r="E35" s="80"/>
      <c r="F35" s="80"/>
    </row>
    <row r="36" spans="2:6" ht="15" customHeight="1" x14ac:dyDescent="0.55000000000000004">
      <c r="B36" s="104"/>
      <c r="C36" s="80"/>
      <c r="D36" s="80"/>
      <c r="E36" s="80"/>
      <c r="F36" s="80"/>
    </row>
    <row r="37" spans="2:6" ht="15" customHeight="1" x14ac:dyDescent="0.55000000000000004">
      <c r="B37" s="104"/>
      <c r="C37" s="80"/>
      <c r="D37" s="80"/>
      <c r="E37" s="80"/>
      <c r="F37" s="80"/>
    </row>
    <row r="38" spans="2:6" ht="15" customHeight="1" x14ac:dyDescent="0.55000000000000004">
      <c r="B38" s="104"/>
      <c r="C38" s="80"/>
      <c r="D38" s="80"/>
      <c r="E38" s="80"/>
      <c r="F38" s="80"/>
    </row>
    <row r="39" spans="2:6" ht="15" customHeight="1" x14ac:dyDescent="0.55000000000000004">
      <c r="B39" s="104"/>
      <c r="C39" s="80"/>
      <c r="D39" s="80"/>
      <c r="E39" s="80"/>
      <c r="F39" s="80"/>
    </row>
    <row r="40" spans="2:6" ht="15" customHeight="1" x14ac:dyDescent="0.55000000000000004">
      <c r="B40" s="104"/>
      <c r="C40" s="80"/>
      <c r="D40" s="80"/>
      <c r="E40" s="80"/>
      <c r="F40" s="80"/>
    </row>
    <row r="41" spans="2:6" ht="15" customHeight="1" x14ac:dyDescent="0.55000000000000004">
      <c r="B41" s="104"/>
      <c r="C41" s="80"/>
      <c r="D41" s="80"/>
      <c r="E41" s="80"/>
      <c r="F41" s="80"/>
    </row>
    <row r="42" spans="2:6" ht="15" customHeight="1" x14ac:dyDescent="0.55000000000000004">
      <c r="B42" s="104"/>
      <c r="C42" s="80"/>
      <c r="D42" s="80"/>
      <c r="E42" s="80"/>
      <c r="F42" s="80"/>
    </row>
    <row r="43" spans="2:6" ht="15" customHeight="1" x14ac:dyDescent="0.55000000000000004">
      <c r="B43" s="104"/>
      <c r="C43" s="80"/>
      <c r="D43" s="80"/>
      <c r="E43" s="80"/>
      <c r="F43" s="80"/>
    </row>
    <row r="44" spans="2:6" ht="15" customHeight="1" x14ac:dyDescent="0.55000000000000004">
      <c r="B44" s="104"/>
      <c r="C44" s="80"/>
      <c r="D44" s="80"/>
      <c r="E44" s="80"/>
      <c r="F44" s="80"/>
    </row>
    <row r="45" spans="2:6" ht="15" customHeight="1" x14ac:dyDescent="0.55000000000000004">
      <c r="B45" s="104"/>
      <c r="C45" s="80"/>
      <c r="D45" s="80"/>
      <c r="E45" s="80"/>
      <c r="F45" s="80"/>
    </row>
    <row r="46" spans="2:6" ht="23.25" customHeight="1" x14ac:dyDescent="0.55000000000000004">
      <c r="B46" s="104"/>
      <c r="C46" s="80"/>
      <c r="D46" s="80"/>
      <c r="E46" s="80"/>
      <c r="F46" s="80"/>
    </row>
    <row r="47" spans="2:6" ht="15" customHeight="1" x14ac:dyDescent="0.55000000000000004">
      <c r="B47" s="104"/>
      <c r="C47" s="80"/>
      <c r="D47" s="80"/>
      <c r="E47" s="80"/>
      <c r="F47" s="80"/>
    </row>
    <row r="48" spans="2:6" ht="18" customHeight="1" x14ac:dyDescent="0.55000000000000004">
      <c r="B48" s="104"/>
      <c r="C48" s="80"/>
      <c r="D48" s="80"/>
      <c r="E48" s="80"/>
      <c r="F48" s="80"/>
    </row>
    <row r="49" spans="2:9" ht="9" customHeight="1" x14ac:dyDescent="0.55000000000000004">
      <c r="B49" s="104"/>
      <c r="C49" s="80"/>
      <c r="D49" s="80"/>
      <c r="E49" s="80"/>
      <c r="F49" s="80"/>
    </row>
    <row r="50" spans="2:9" ht="15" customHeight="1" x14ac:dyDescent="0.55000000000000004">
      <c r="B50" s="104"/>
      <c r="C50" s="80"/>
      <c r="D50" s="80"/>
      <c r="E50" s="80"/>
      <c r="F50" s="80"/>
    </row>
    <row r="51" spans="2:9" ht="15" customHeight="1" x14ac:dyDescent="0.55000000000000004">
      <c r="B51" s="104"/>
      <c r="C51" s="80"/>
      <c r="D51" s="80"/>
      <c r="E51" s="80"/>
      <c r="F51" s="80"/>
    </row>
    <row r="52" spans="2:9" ht="15" customHeight="1" x14ac:dyDescent="0.55000000000000004">
      <c r="B52" s="104"/>
      <c r="C52" s="80"/>
      <c r="D52" s="80"/>
      <c r="E52" s="80"/>
      <c r="F52" s="80"/>
    </row>
    <row r="53" spans="2:9" ht="15" customHeight="1" x14ac:dyDescent="0.55000000000000004">
      <c r="B53" s="104"/>
      <c r="C53" s="80"/>
      <c r="D53" s="80"/>
      <c r="E53" s="80"/>
      <c r="F53" s="80"/>
    </row>
    <row r="54" spans="2:9" ht="15" customHeight="1" x14ac:dyDescent="0.55000000000000004">
      <c r="B54" s="104"/>
      <c r="C54" s="80"/>
      <c r="D54" s="80"/>
      <c r="E54" s="80"/>
      <c r="F54" s="80"/>
      <c r="G54" s="88"/>
      <c r="H54" s="88"/>
      <c r="I54" s="88"/>
    </row>
    <row r="55" spans="2:9" ht="15" customHeight="1" x14ac:dyDescent="0.55000000000000004">
      <c r="B55" s="104"/>
      <c r="C55" s="80"/>
      <c r="D55" s="80"/>
      <c r="E55" s="80"/>
      <c r="F55" s="80"/>
      <c r="G55" s="88"/>
      <c r="H55" s="88"/>
      <c r="I55" s="88"/>
    </row>
    <row r="56" spans="2:9" ht="15" customHeight="1" x14ac:dyDescent="0.55000000000000004">
      <c r="B56" s="104"/>
      <c r="C56" s="80"/>
      <c r="D56" s="80"/>
      <c r="E56" s="80"/>
      <c r="F56" s="80"/>
      <c r="G56" s="88"/>
      <c r="H56" s="88"/>
      <c r="I56" s="88"/>
    </row>
    <row r="57" spans="2:9" ht="15" customHeight="1" x14ac:dyDescent="0.55000000000000004">
      <c r="B57" s="104"/>
      <c r="C57" s="80"/>
      <c r="D57" s="80"/>
      <c r="E57" s="80"/>
      <c r="F57" s="80"/>
      <c r="G57" s="105"/>
      <c r="H57" s="105"/>
      <c r="I57" s="88"/>
    </row>
    <row r="58" spans="2:9" ht="15" customHeight="1" x14ac:dyDescent="0.55000000000000004">
      <c r="B58" s="104"/>
      <c r="C58" s="80"/>
      <c r="D58" s="80"/>
      <c r="E58" s="80"/>
      <c r="F58" s="80"/>
      <c r="G58" s="88"/>
      <c r="H58" s="88"/>
      <c r="I58" s="88"/>
    </row>
    <row r="59" spans="2:9" ht="15" customHeight="1" x14ac:dyDescent="0.55000000000000004">
      <c r="B59" s="104"/>
      <c r="C59" s="80"/>
      <c r="D59" s="80"/>
      <c r="E59" s="80"/>
      <c r="F59" s="80"/>
      <c r="G59" s="88"/>
      <c r="H59" s="88"/>
      <c r="I59" s="88"/>
    </row>
    <row r="60" spans="2:9" ht="15" customHeight="1" x14ac:dyDescent="0.55000000000000004">
      <c r="B60" s="104"/>
      <c r="C60" s="80"/>
      <c r="D60" s="80"/>
      <c r="E60" s="80"/>
      <c r="F60" s="80"/>
      <c r="G60" s="106"/>
      <c r="H60" s="106"/>
      <c r="I60" s="106"/>
    </row>
    <row r="61" spans="2:9" ht="24" customHeight="1" x14ac:dyDescent="0.55000000000000004">
      <c r="B61" s="104"/>
      <c r="C61" s="80"/>
      <c r="D61" s="80"/>
      <c r="E61" s="80"/>
      <c r="F61" s="80"/>
      <c r="G61" s="106"/>
      <c r="H61" s="106"/>
      <c r="I61" s="106"/>
    </row>
    <row r="62" spans="2:9" ht="8.25" customHeight="1" x14ac:dyDescent="0.55000000000000004">
      <c r="B62" s="104">
        <v>31</v>
      </c>
      <c r="C62" s="108" t="e">
        <f>#REF!</f>
        <v>#REF!</v>
      </c>
      <c r="D62" s="109" t="e">
        <f>#REF!</f>
        <v>#REF!</v>
      </c>
      <c r="E62" s="109"/>
      <c r="F62" s="108" t="e">
        <f>#REF!</f>
        <v>#REF!</v>
      </c>
      <c r="G62" s="111" t="s">
        <v>54</v>
      </c>
      <c r="H62" s="111" t="s">
        <v>43</v>
      </c>
      <c r="I62" s="111" t="s">
        <v>47</v>
      </c>
    </row>
    <row r="63" spans="2:9" x14ac:dyDescent="0.5">
      <c r="B63" s="107">
        <v>1</v>
      </c>
      <c r="C63" s="113" t="e">
        <f>#REF!+C62*(1+$C$22)^$B63+#REF!*(1+$C$23)^$B63</f>
        <v>#REF!</v>
      </c>
      <c r="D63" s="113" t="e">
        <f>#REF!+D62+#REF!*(1+$C$23)^$B63</f>
        <v>#REF!</v>
      </c>
      <c r="E63" s="113"/>
      <c r="F63" s="113" t="e">
        <f>#REF!+F62+#REF!*(1+$C$23)^$B63</f>
        <v>#REF!</v>
      </c>
      <c r="G63" s="114" t="e">
        <f>IF(#REF!&lt;C63,0,1)</f>
        <v>#REF!</v>
      </c>
      <c r="H63" s="114" t="e">
        <f>IF(#REF!&lt;D63,0,1)</f>
        <v>#REF!</v>
      </c>
      <c r="I63" s="114" t="e">
        <f>IF(#REF!&lt;F63,0,1)</f>
        <v>#REF!</v>
      </c>
    </row>
    <row r="64" spans="2:9" x14ac:dyDescent="0.5">
      <c r="B64" s="107">
        <v>2</v>
      </c>
      <c r="C64" s="113" t="e">
        <f>#REF!+C63+#REF!*(1+$C$23)^$B64</f>
        <v>#REF!</v>
      </c>
      <c r="D64" s="113" t="e">
        <f>#REF!+D63+#REF!*(1+$C$23)^$B64</f>
        <v>#REF!</v>
      </c>
      <c r="E64" s="113"/>
      <c r="F64" s="113" t="e">
        <f>#REF!+F63+#REF!*(1+$C$23)^$B64</f>
        <v>#REF!</v>
      </c>
      <c r="G64" s="114" t="e">
        <f>IF(#REF!&lt;C64,0,1)</f>
        <v>#REF!</v>
      </c>
      <c r="H64" s="114" t="e">
        <f>IF(#REF!&lt;D64,0,1)</f>
        <v>#REF!</v>
      </c>
      <c r="I64" s="114" t="e">
        <f>IF(#REF!&lt;F64,0,1)</f>
        <v>#REF!</v>
      </c>
    </row>
    <row r="65" spans="2:9" ht="18.75" customHeight="1" x14ac:dyDescent="0.5">
      <c r="B65" s="107">
        <v>3</v>
      </c>
      <c r="C65" s="113" t="e">
        <f>#REF!+C64+#REF!*(1+$C$23)^$B65</f>
        <v>#REF!</v>
      </c>
      <c r="D65" s="113" t="e">
        <f>#REF!+D64+#REF!*(1+$C$23)^$B65</f>
        <v>#REF!</v>
      </c>
      <c r="E65" s="113"/>
      <c r="F65" s="113" t="e">
        <f>#REF!+F64+#REF!*(1+$C$23)^$B65</f>
        <v>#REF!</v>
      </c>
      <c r="G65" s="114" t="e">
        <f>IF(#REF!&lt;C65,0,1)</f>
        <v>#REF!</v>
      </c>
      <c r="H65" s="114" t="e">
        <f>IF(#REF!&lt;D65,0,1)</f>
        <v>#REF!</v>
      </c>
      <c r="I65" s="114" t="e">
        <f>IF(#REF!&lt;F65,0,1)</f>
        <v>#REF!</v>
      </c>
    </row>
    <row r="66" spans="2:9" ht="18.75" customHeight="1" x14ac:dyDescent="0.5">
      <c r="B66" s="107">
        <v>4</v>
      </c>
      <c r="C66" s="113" t="e">
        <f>#REF!+C65+#REF!*(1+$C$23)^$B66</f>
        <v>#REF!</v>
      </c>
      <c r="D66" s="113" t="e">
        <f>#REF!+D65+#REF!*(1+$C$23)^$B66</f>
        <v>#REF!</v>
      </c>
      <c r="E66" s="113"/>
      <c r="F66" s="113" t="e">
        <f>#REF!+F65+#REF!*(1+$C$23)^$B66</f>
        <v>#REF!</v>
      </c>
      <c r="G66" s="114" t="e">
        <f>IF(#REF!&lt;C66,0,1)</f>
        <v>#REF!</v>
      </c>
      <c r="H66" s="114" t="e">
        <f>IF(#REF!&lt;D66,0,1)</f>
        <v>#REF!</v>
      </c>
      <c r="I66" s="114" t="e">
        <f>IF(#REF!&lt;F66,0,1)</f>
        <v>#REF!</v>
      </c>
    </row>
    <row r="67" spans="2:9" ht="19.5" customHeight="1" x14ac:dyDescent="0.5">
      <c r="B67" s="107">
        <v>5</v>
      </c>
      <c r="C67" s="113" t="e">
        <f>#REF!+C66+#REF!*(1+$C$23)^$B67</f>
        <v>#REF!</v>
      </c>
      <c r="D67" s="113" t="e">
        <f>#REF!+D66+#REF!*(1+$C$23)^$B67</f>
        <v>#REF!</v>
      </c>
      <c r="E67" s="113"/>
      <c r="F67" s="113" t="e">
        <f>#REF!+F66+#REF!*(1+$C$23)^$B67</f>
        <v>#REF!</v>
      </c>
      <c r="G67" s="114" t="e">
        <f>IF(#REF!&lt;C67,0,1)</f>
        <v>#REF!</v>
      </c>
      <c r="H67" s="114" t="e">
        <f>IF(#REF!&lt;D67,0,1)</f>
        <v>#REF!</v>
      </c>
      <c r="I67" s="114" t="e">
        <f>IF(#REF!&lt;F67,0,1)</f>
        <v>#REF!</v>
      </c>
    </row>
    <row r="68" spans="2:9" ht="19.5" hidden="1" customHeight="1" x14ac:dyDescent="0.5">
      <c r="B68" s="107">
        <v>6</v>
      </c>
      <c r="C68" s="113" t="e">
        <f>#REF!+C67+#REF!*(1+$C$23)^$B68</f>
        <v>#REF!</v>
      </c>
      <c r="D68" s="113" t="e">
        <f>#REF!+D67+#REF!*(1+$C$23)^$B68</f>
        <v>#REF!</v>
      </c>
      <c r="E68" s="113"/>
      <c r="F68" s="113" t="e">
        <f>#REF!+F67+#REF!*(1+$C$23)^$B68</f>
        <v>#REF!</v>
      </c>
      <c r="G68" s="114" t="e">
        <f>IF(#REF!&lt;C68,0,1)</f>
        <v>#REF!</v>
      </c>
      <c r="H68" s="114" t="e">
        <f>IF(#REF!&lt;D68,0,1)</f>
        <v>#REF!</v>
      </c>
      <c r="I68" s="114" t="e">
        <f>IF(#REF!&lt;F68,0,1)</f>
        <v>#REF!</v>
      </c>
    </row>
    <row r="69" spans="2:9" ht="19.5" customHeight="1" x14ac:dyDescent="0.5">
      <c r="B69" s="107">
        <v>7</v>
      </c>
      <c r="C69" s="113" t="e">
        <f>#REF!+C68+#REF!*(1+$C$23)^$B69</f>
        <v>#REF!</v>
      </c>
      <c r="D69" s="113" t="e">
        <f>#REF!+D68+#REF!*(1+$C$23)^$B69</f>
        <v>#REF!</v>
      </c>
      <c r="E69" s="113"/>
      <c r="F69" s="113" t="e">
        <f>#REF!+F68+#REF!*(1+$C$23)^$B69</f>
        <v>#REF!</v>
      </c>
      <c r="G69" s="114" t="e">
        <f>IF(#REF!&lt;C69,0,1)</f>
        <v>#REF!</v>
      </c>
      <c r="H69" s="114" t="e">
        <f>IF(#REF!&lt;D69,0,1)</f>
        <v>#REF!</v>
      </c>
      <c r="I69" s="114" t="e">
        <f>IF(#REF!&lt;F69,0,1)</f>
        <v>#REF!</v>
      </c>
    </row>
    <row r="70" spans="2:9" ht="19.5" customHeight="1" x14ac:dyDescent="0.5">
      <c r="B70" s="107">
        <v>8</v>
      </c>
      <c r="C70" s="113" t="e">
        <f>#REF!+C69+#REF!*(1+$C$23)^$B70</f>
        <v>#REF!</v>
      </c>
      <c r="D70" s="113" t="e">
        <f>#REF!+D69+#REF!*(1+$C$23)^$B70</f>
        <v>#REF!</v>
      </c>
      <c r="E70" s="113"/>
      <c r="F70" s="113" t="e">
        <f>#REF!+F69+#REF!*(1+$C$23)^$B70</f>
        <v>#REF!</v>
      </c>
      <c r="G70" s="114" t="e">
        <f>IF(#REF!&lt;C70,0,1)</f>
        <v>#REF!</v>
      </c>
      <c r="H70" s="114" t="e">
        <f>IF(#REF!&lt;D70,0,1)</f>
        <v>#REF!</v>
      </c>
      <c r="I70" s="114" t="e">
        <f>IF(#REF!&lt;F70,0,1)</f>
        <v>#REF!</v>
      </c>
    </row>
    <row r="71" spans="2:9" ht="11.25" customHeight="1" x14ac:dyDescent="0.5">
      <c r="B71" s="107">
        <v>9</v>
      </c>
      <c r="C71" s="113" t="e">
        <f>#REF!+C70+#REF!*(1+$C$23)^$B71</f>
        <v>#REF!</v>
      </c>
      <c r="D71" s="113" t="e">
        <f>#REF!+D70+#REF!*(1+$C$23)^$B71</f>
        <v>#REF!</v>
      </c>
      <c r="E71" s="113"/>
      <c r="F71" s="113" t="e">
        <f>#REF!+F70+#REF!*(1+$C$23)^$B71</f>
        <v>#REF!</v>
      </c>
      <c r="G71" s="114" t="e">
        <f>IF(#REF!&lt;C71,0,1)</f>
        <v>#REF!</v>
      </c>
      <c r="H71" s="114" t="e">
        <f>IF(#REF!&lt;D71,0,1)</f>
        <v>#REF!</v>
      </c>
      <c r="I71" s="114" t="e">
        <f>IF(#REF!&lt;F71,0,1)</f>
        <v>#REF!</v>
      </c>
    </row>
    <row r="72" spans="2:9" x14ac:dyDescent="0.5">
      <c r="B72" s="107">
        <v>10</v>
      </c>
      <c r="C72" s="113" t="e">
        <f>#REF!+C71+#REF!*(1+$C$23)^$B72</f>
        <v>#REF!</v>
      </c>
      <c r="D72" s="113" t="e">
        <f>#REF!+D71+#REF!*(1+$C$23)^$B72</f>
        <v>#REF!</v>
      </c>
      <c r="E72" s="113"/>
      <c r="F72" s="113" t="e">
        <f>#REF!+F71+#REF!*(1+$C$23)^$B72</f>
        <v>#REF!</v>
      </c>
      <c r="G72" s="114" t="e">
        <f>IF(#REF!&lt;C72,0,1)</f>
        <v>#REF!</v>
      </c>
      <c r="H72" s="114" t="e">
        <f>IF(#REF!&lt;D72,0,1)</f>
        <v>#REF!</v>
      </c>
      <c r="I72" s="114" t="e">
        <f>IF(#REF!&lt;F72,0,1)</f>
        <v>#REF!</v>
      </c>
    </row>
    <row r="73" spans="2:9" x14ac:dyDescent="0.5">
      <c r="B73" s="107">
        <v>11</v>
      </c>
      <c r="C73" s="113" t="e">
        <f>#REF!+C72+#REF!*(1+$C$23)^$B73</f>
        <v>#REF!</v>
      </c>
      <c r="D73" s="113" t="e">
        <f>#REF!+D72+#REF!*(1+$C$23)^$B73</f>
        <v>#REF!</v>
      </c>
      <c r="E73" s="113"/>
      <c r="F73" s="113" t="e">
        <f>#REF!+F72+#REF!*(1+$C$23)^$B73</f>
        <v>#REF!</v>
      </c>
      <c r="G73" s="114" t="e">
        <f>IF(#REF!&lt;C73,0,1)</f>
        <v>#REF!</v>
      </c>
      <c r="H73" s="114" t="e">
        <f>IF(#REF!&lt;D73,0,1)</f>
        <v>#REF!</v>
      </c>
      <c r="I73" s="114" t="e">
        <f>IF(#REF!&lt;F73,0,1)</f>
        <v>#REF!</v>
      </c>
    </row>
    <row r="74" spans="2:9" x14ac:dyDescent="0.5">
      <c r="B74" s="107">
        <v>12</v>
      </c>
      <c r="C74" s="113" t="e">
        <f>#REF!+C73+#REF!*(1+$C$23)^$B74</f>
        <v>#REF!</v>
      </c>
      <c r="D74" s="113" t="e">
        <f>#REF!+D73+#REF!*(1+$C$23)^$B74</f>
        <v>#REF!</v>
      </c>
      <c r="E74" s="113"/>
      <c r="F74" s="113" t="e">
        <f>#REF!+F73+#REF!*(1+$C$23)^$B74</f>
        <v>#REF!</v>
      </c>
      <c r="G74" s="114" t="e">
        <f>IF(#REF!&lt;C74,0,1)</f>
        <v>#REF!</v>
      </c>
      <c r="H74" s="114" t="e">
        <f>IF(#REF!&lt;D74,0,1)</f>
        <v>#REF!</v>
      </c>
      <c r="I74" s="114" t="e">
        <f>IF(#REF!&lt;F74,0,1)</f>
        <v>#REF!</v>
      </c>
    </row>
    <row r="75" spans="2:9" ht="19.5" customHeight="1" x14ac:dyDescent="0.5">
      <c r="B75" s="107">
        <v>13</v>
      </c>
      <c r="C75" s="113" t="e">
        <f>#REF!+C74+#REF!*(1+$C$23)^$B75</f>
        <v>#REF!</v>
      </c>
      <c r="D75" s="113" t="e">
        <f>#REF!+D74+#REF!*(1+$C$23)^$B75</f>
        <v>#REF!</v>
      </c>
      <c r="E75" s="113"/>
      <c r="F75" s="113" t="e">
        <f>#REF!+F74+#REF!*(1+$C$23)^$B75</f>
        <v>#REF!</v>
      </c>
      <c r="G75" s="114" t="e">
        <f>IF(#REF!&lt;C75,0,1)</f>
        <v>#REF!</v>
      </c>
      <c r="H75" s="114" t="e">
        <f>IF(#REF!&lt;D75,0,1)</f>
        <v>#REF!</v>
      </c>
      <c r="I75" s="114" t="e">
        <f>IF(#REF!&lt;F75,0,1)</f>
        <v>#REF!</v>
      </c>
    </row>
    <row r="76" spans="2:9" ht="10.5" customHeight="1" x14ac:dyDescent="0.5">
      <c r="B76" s="107">
        <v>14</v>
      </c>
      <c r="C76" s="113" t="e">
        <f>#REF!+C75+#REF!*(1+$C$23)^$B76</f>
        <v>#REF!</v>
      </c>
      <c r="D76" s="113" t="e">
        <f>#REF!+D75+#REF!*(1+$C$23)^$B76</f>
        <v>#REF!</v>
      </c>
      <c r="E76" s="113"/>
      <c r="F76" s="113" t="e">
        <f>#REF!+F75+#REF!*(1+$C$23)^$B76</f>
        <v>#REF!</v>
      </c>
      <c r="G76" s="114" t="e">
        <f>IF(#REF!&lt;C76,0,1)</f>
        <v>#REF!</v>
      </c>
      <c r="H76" s="114" t="e">
        <f>IF(#REF!&lt;D76,0,1)</f>
        <v>#REF!</v>
      </c>
      <c r="I76" s="114" t="e">
        <f>IF(#REF!&lt;F76,0,1)</f>
        <v>#REF!</v>
      </c>
    </row>
    <row r="77" spans="2:9" x14ac:dyDescent="0.5">
      <c r="B77" s="107">
        <v>15</v>
      </c>
      <c r="C77" s="113" t="e">
        <f>#REF!+C76+#REF!*(1+$C$23)^$B77</f>
        <v>#REF!</v>
      </c>
      <c r="D77" s="113" t="e">
        <f>#REF!+D76+#REF!*(1+$C$23)^$B77</f>
        <v>#REF!</v>
      </c>
      <c r="E77" s="113"/>
      <c r="F77" s="113" t="e">
        <f>#REF!+F76+#REF!*(1+$C$23)^$B77</f>
        <v>#REF!</v>
      </c>
      <c r="G77" s="114" t="e">
        <f>IF(#REF!&lt;C77,0,1)</f>
        <v>#REF!</v>
      </c>
      <c r="H77" s="114" t="e">
        <f>IF(#REF!&lt;D77,0,1)</f>
        <v>#REF!</v>
      </c>
      <c r="I77" s="114" t="e">
        <f>IF(#REF!&lt;F77,0,1)</f>
        <v>#REF!</v>
      </c>
    </row>
    <row r="78" spans="2:9" x14ac:dyDescent="0.5">
      <c r="B78" s="107">
        <v>16</v>
      </c>
      <c r="C78" s="113" t="e">
        <f>#REF!+C77+#REF!*(1+$C$23)^$B78</f>
        <v>#REF!</v>
      </c>
      <c r="D78" s="113" t="e">
        <f>#REF!+D77+#REF!*(1+$C$23)^$B78</f>
        <v>#REF!</v>
      </c>
      <c r="E78" s="113"/>
      <c r="F78" s="113" t="e">
        <f>#REF!+F77+#REF!*(1+$C$23)^$B78</f>
        <v>#REF!</v>
      </c>
      <c r="G78" s="114" t="e">
        <f>IF(#REF!&lt;C78,0,1)</f>
        <v>#REF!</v>
      </c>
      <c r="H78" s="114" t="e">
        <f>IF(#REF!&lt;D78,0,1)</f>
        <v>#REF!</v>
      </c>
      <c r="I78" s="114" t="e">
        <f>IF(#REF!&lt;F78,0,1)</f>
        <v>#REF!</v>
      </c>
    </row>
    <row r="79" spans="2:9" x14ac:dyDescent="0.5">
      <c r="B79" s="107">
        <v>17</v>
      </c>
      <c r="C79" s="113" t="e">
        <f>#REF!+C78+#REF!*(1+$C$23)^$B79</f>
        <v>#REF!</v>
      </c>
      <c r="D79" s="113" t="e">
        <f>#REF!+D78+#REF!*(1+$C$23)^$B79</f>
        <v>#REF!</v>
      </c>
      <c r="E79" s="113"/>
      <c r="F79" s="113" t="e">
        <f>#REF!+F78+#REF!*(1+$C$23)^$B79</f>
        <v>#REF!</v>
      </c>
      <c r="G79" s="114" t="e">
        <f>IF(#REF!&lt;C79,0,1)</f>
        <v>#REF!</v>
      </c>
      <c r="H79" s="114" t="e">
        <f>IF(#REF!&lt;D79,0,1)</f>
        <v>#REF!</v>
      </c>
      <c r="I79" s="114" t="e">
        <f>IF(#REF!&lt;F79,0,1)</f>
        <v>#REF!</v>
      </c>
    </row>
    <row r="80" spans="2:9" x14ac:dyDescent="0.5">
      <c r="B80" s="107">
        <v>18</v>
      </c>
      <c r="C80" s="113" t="e">
        <f>#REF!+C79+#REF!*(1+$C$23)^$B80</f>
        <v>#REF!</v>
      </c>
      <c r="D80" s="113" t="e">
        <f>#REF!+D79+#REF!*(1+$C$23)^$B80</f>
        <v>#REF!</v>
      </c>
      <c r="E80" s="113"/>
      <c r="F80" s="113" t="e">
        <f>#REF!+F79+#REF!*(1+$C$23)^$B80</f>
        <v>#REF!</v>
      </c>
      <c r="G80" s="114" t="e">
        <f>IF(#REF!&lt;C80,0,1)</f>
        <v>#REF!</v>
      </c>
      <c r="H80" s="114" t="e">
        <f>IF(#REF!&lt;D80,0,1)</f>
        <v>#REF!</v>
      </c>
      <c r="I80" s="114" t="e">
        <f>IF(#REF!&lt;F80,0,1)</f>
        <v>#REF!</v>
      </c>
    </row>
    <row r="81" spans="1:9" x14ac:dyDescent="0.5">
      <c r="B81" s="107">
        <v>19</v>
      </c>
      <c r="C81" s="113" t="e">
        <f>#REF!+C80+#REF!*(1+$C$23)^$B81</f>
        <v>#REF!</v>
      </c>
      <c r="D81" s="113" t="e">
        <f>#REF!+D80+#REF!*(1+$C$23)^$B81</f>
        <v>#REF!</v>
      </c>
      <c r="E81" s="113"/>
      <c r="F81" s="113" t="e">
        <f>#REF!+F80+#REF!*(1+$C$23)^$B81</f>
        <v>#REF!</v>
      </c>
      <c r="G81" s="114" t="e">
        <f>IF(#REF!&lt;C81,0,1)</f>
        <v>#REF!</v>
      </c>
      <c r="H81" s="114" t="e">
        <f>IF(#REF!&lt;D81,0,1)</f>
        <v>#REF!</v>
      </c>
      <c r="I81" s="114" t="e">
        <f>IF(#REF!&lt;F81,0,1)</f>
        <v>#REF!</v>
      </c>
    </row>
    <row r="82" spans="1:9" x14ac:dyDescent="0.5">
      <c r="B82" s="107">
        <v>20</v>
      </c>
      <c r="C82" s="113" t="e">
        <f>#REF!+C81+#REF!*(1+$C$23)^$B82</f>
        <v>#REF!</v>
      </c>
      <c r="D82" s="113" t="e">
        <f>#REF!+D81+#REF!*(1+$C$23)^$B82</f>
        <v>#REF!</v>
      </c>
      <c r="E82" s="113"/>
      <c r="F82" s="113" t="e">
        <f>#REF!+F81+#REF!*(1+$C$23)^$B82</f>
        <v>#REF!</v>
      </c>
      <c r="G82" s="114" t="e">
        <f>IF(#REF!&lt;C82,0,1)</f>
        <v>#REF!</v>
      </c>
      <c r="H82" s="114" t="e">
        <f>IF(#REF!&lt;D82,0,1)</f>
        <v>#REF!</v>
      </c>
      <c r="I82" s="114" t="e">
        <f>IF(#REF!&lt;F82,0,1)</f>
        <v>#REF!</v>
      </c>
    </row>
    <row r="83" spans="1:9" x14ac:dyDescent="0.5">
      <c r="B83" s="107">
        <v>21</v>
      </c>
      <c r="C83" s="113" t="e">
        <f>#REF!+C82+#REF!*(1+$C$23)^$B83</f>
        <v>#REF!</v>
      </c>
      <c r="D83" s="113" t="e">
        <f>#REF!+D82+#REF!*(1+$C$23)^$B83</f>
        <v>#REF!</v>
      </c>
      <c r="E83" s="113"/>
      <c r="F83" s="113" t="e">
        <f>#REF!+F82+#REF!*(1+$C$23)^$B83</f>
        <v>#REF!</v>
      </c>
      <c r="G83" s="114" t="e">
        <f>IF(#REF!&lt;C83,0,1)</f>
        <v>#REF!</v>
      </c>
      <c r="H83" s="114" t="e">
        <f>IF(#REF!&lt;D83,0,1)</f>
        <v>#REF!</v>
      </c>
      <c r="I83" s="114" t="e">
        <f>IF(#REF!&lt;F83,0,1)</f>
        <v>#REF!</v>
      </c>
    </row>
    <row r="84" spans="1:9" s="18" customFormat="1" ht="22.5" customHeight="1" x14ac:dyDescent="0.5">
      <c r="B84" s="107">
        <v>22</v>
      </c>
      <c r="C84" s="113" t="e">
        <f>#REF!+C83+#REF!*(1+$C$23)^$B84</f>
        <v>#REF!</v>
      </c>
      <c r="D84" s="113" t="e">
        <f>#REF!+D83+#REF!*(1+$C$23)^$B84</f>
        <v>#REF!</v>
      </c>
      <c r="E84" s="113"/>
      <c r="F84" s="113" t="e">
        <f>#REF!+F83+#REF!*(1+$C$23)^$B84</f>
        <v>#REF!</v>
      </c>
      <c r="G84" s="114" t="e">
        <f>IF(#REF!&lt;C84,0,1)</f>
        <v>#REF!</v>
      </c>
      <c r="H84" s="114" t="e">
        <f>IF(#REF!&lt;D84,0,1)</f>
        <v>#REF!</v>
      </c>
      <c r="I84" s="114" t="e">
        <f>IF(#REF!&lt;F84,0,1)</f>
        <v>#REF!</v>
      </c>
    </row>
    <row r="85" spans="1:9" x14ac:dyDescent="0.5">
      <c r="B85" s="107">
        <v>23</v>
      </c>
      <c r="C85" s="113" t="e">
        <f>#REF!+C84+#REF!*(1+$C$23)^$B85</f>
        <v>#REF!</v>
      </c>
      <c r="D85" s="113" t="e">
        <f>#REF!+D84+#REF!*(1+$C$23)^$B85</f>
        <v>#REF!</v>
      </c>
      <c r="E85" s="113"/>
      <c r="F85" s="113" t="e">
        <f>#REF!+F84+#REF!*(1+$C$23)^$B85</f>
        <v>#REF!</v>
      </c>
      <c r="G85" s="114" t="e">
        <f>IF(#REF!&lt;C85,0,1)</f>
        <v>#REF!</v>
      </c>
      <c r="H85" s="114" t="e">
        <f>IF(#REF!&lt;D85,0,1)</f>
        <v>#REF!</v>
      </c>
      <c r="I85" s="114" t="e">
        <f>IF(#REF!&lt;F85,0,1)</f>
        <v>#REF!</v>
      </c>
    </row>
    <row r="86" spans="1:9" x14ac:dyDescent="0.5">
      <c r="B86" s="107">
        <v>24</v>
      </c>
      <c r="C86" s="113" t="e">
        <f>#REF!+C85+#REF!*(1+$C$23)^$B86</f>
        <v>#REF!</v>
      </c>
      <c r="D86" s="113" t="e">
        <f>#REF!+D85+#REF!*(1+$C$23)^$B86</f>
        <v>#REF!</v>
      </c>
      <c r="E86" s="113"/>
      <c r="F86" s="113" t="e">
        <f>#REF!+F85+#REF!*(1+$C$23)^$B86</f>
        <v>#REF!</v>
      </c>
      <c r="G86" s="114" t="e">
        <f>IF(#REF!&lt;C86,0,1)</f>
        <v>#REF!</v>
      </c>
      <c r="H86" s="114" t="e">
        <f>IF(#REF!&lt;D86,0,1)</f>
        <v>#REF!</v>
      </c>
      <c r="I86" s="114" t="e">
        <f>IF(#REF!&lt;F86,0,1)</f>
        <v>#REF!</v>
      </c>
    </row>
    <row r="87" spans="1:9" ht="20.25" customHeight="1" x14ac:dyDescent="0.5">
      <c r="B87" s="107">
        <v>25</v>
      </c>
      <c r="C87" s="113" t="e">
        <f>#REF!+C86+#REF!*(1+$C$23)^$B87</f>
        <v>#REF!</v>
      </c>
      <c r="D87" s="113" t="e">
        <f>#REF!+D86+#REF!*(1+$C$23)^$B87</f>
        <v>#REF!</v>
      </c>
      <c r="E87" s="113"/>
      <c r="F87" s="113" t="e">
        <f>#REF!+F86+#REF!*(1+$C$23)^$B87</f>
        <v>#REF!</v>
      </c>
      <c r="G87" s="106" t="e">
        <f>IF(#REF!&lt;C87,0,1)</f>
        <v>#REF!</v>
      </c>
      <c r="H87" s="106" t="e">
        <f>IF(#REF!&lt;D87,0,1)</f>
        <v>#REF!</v>
      </c>
      <c r="I87" s="106" t="e">
        <f>IF(#REF!&lt;F87,0,1)</f>
        <v>#REF!</v>
      </c>
    </row>
    <row r="88" spans="1:9" ht="22.5" customHeight="1" x14ac:dyDescent="0.5">
      <c r="B88" s="107"/>
      <c r="C88" s="107"/>
      <c r="D88" s="107"/>
      <c r="E88" s="107"/>
      <c r="F88" s="107"/>
      <c r="G88" s="107"/>
      <c r="H88" s="107"/>
      <c r="I88" s="107"/>
    </row>
    <row r="89" spans="1:9" ht="15.6" x14ac:dyDescent="0.6">
      <c r="A89" s="29"/>
      <c r="B89" s="107"/>
      <c r="C89" s="107"/>
      <c r="D89" s="107"/>
      <c r="E89" s="107"/>
      <c r="F89" s="107"/>
      <c r="G89" s="106"/>
      <c r="H89" s="106"/>
      <c r="I89" s="106"/>
    </row>
    <row r="90" spans="1:9" ht="65.099999999999994" x14ac:dyDescent="0.6">
      <c r="A90" s="29"/>
      <c r="B90" s="107"/>
      <c r="C90" s="111" t="s">
        <v>42</v>
      </c>
      <c r="D90" s="111" t="s">
        <v>43</v>
      </c>
      <c r="E90" s="111"/>
      <c r="F90" s="111" t="s">
        <v>47</v>
      </c>
      <c r="G90" s="106"/>
      <c r="H90" s="106"/>
      <c r="I90" s="106"/>
    </row>
    <row r="91" spans="1:9" ht="15.6" x14ac:dyDescent="0.6">
      <c r="A91" s="29"/>
      <c r="B91" s="107"/>
      <c r="C91" s="117" t="e">
        <f>SUM(G63:G87)</f>
        <v>#REF!</v>
      </c>
      <c r="D91" s="117" t="e">
        <f>SUM(H63:H87)</f>
        <v>#REF!</v>
      </c>
      <c r="E91" s="117"/>
      <c r="F91" s="117" t="e">
        <f>SUM(I63:I87)</f>
        <v>#REF!</v>
      </c>
      <c r="G91" s="106"/>
      <c r="H91" s="106"/>
      <c r="I91" s="106"/>
    </row>
    <row r="92" spans="1:9" ht="15.6" x14ac:dyDescent="0.6">
      <c r="A92" s="29"/>
      <c r="B92" s="107"/>
      <c r="C92" s="114" t="e">
        <f>IF(C91=0,1,C91)</f>
        <v>#REF!</v>
      </c>
      <c r="D92" s="114" t="e">
        <f>IF(D91=0,1,D91)</f>
        <v>#REF!</v>
      </c>
      <c r="E92" s="114"/>
      <c r="F92" s="114" t="e">
        <f>IF(F91=0,1,F91)</f>
        <v>#REF!</v>
      </c>
      <c r="G92" s="106"/>
      <c r="H92" s="106"/>
      <c r="I92" s="106"/>
    </row>
    <row r="93" spans="1:9" ht="15.6" x14ac:dyDescent="0.6">
      <c r="A93" s="29"/>
      <c r="B93" s="107"/>
      <c r="C93" s="118" t="e">
        <f>IF(C92=0,1,1/C92)</f>
        <v>#REF!</v>
      </c>
      <c r="D93" s="118" t="e">
        <f>IF(D92=0,1,1/D92)</f>
        <v>#REF!</v>
      </c>
      <c r="E93" s="118"/>
      <c r="F93" s="118" t="e">
        <f>IF(F92=0,1,1/F92)</f>
        <v>#REF!</v>
      </c>
      <c r="G93" s="106"/>
      <c r="H93" s="106"/>
      <c r="I93" s="106"/>
    </row>
    <row r="94" spans="1:9" ht="15.6" x14ac:dyDescent="0.6">
      <c r="A94" s="29"/>
      <c r="B94" s="107"/>
      <c r="C94" s="107"/>
      <c r="D94" s="107"/>
      <c r="E94" s="107"/>
      <c r="F94" s="107"/>
      <c r="G94" s="106"/>
      <c r="H94" s="106"/>
      <c r="I94" s="106"/>
    </row>
    <row r="95" spans="1:9" x14ac:dyDescent="0.5">
      <c r="B95" s="107"/>
      <c r="C95" s="107"/>
      <c r="D95" s="107"/>
      <c r="E95" s="107"/>
      <c r="F95" s="107"/>
      <c r="G95" s="106"/>
      <c r="H95" s="106"/>
      <c r="I95" s="106"/>
    </row>
    <row r="96" spans="1:9" x14ac:dyDescent="0.5">
      <c r="B96" s="107"/>
      <c r="C96" s="119"/>
      <c r="D96" s="107"/>
      <c r="E96" s="107"/>
      <c r="F96" s="107"/>
      <c r="G96" s="106"/>
      <c r="H96" s="106"/>
      <c r="I96" s="106"/>
    </row>
    <row r="97" spans="1:9" ht="15.6" x14ac:dyDescent="0.6">
      <c r="A97" s="29"/>
      <c r="B97" s="107"/>
      <c r="C97" s="107"/>
      <c r="D97" s="107"/>
      <c r="E97" s="107"/>
      <c r="F97" s="107"/>
      <c r="G97" s="106"/>
      <c r="H97" s="106"/>
      <c r="I97" s="106"/>
    </row>
    <row r="98" spans="1:9" ht="15.6" x14ac:dyDescent="0.6">
      <c r="A98" s="29"/>
      <c r="B98" s="107"/>
      <c r="C98" s="107"/>
      <c r="D98" s="107"/>
      <c r="E98" s="107"/>
      <c r="F98" s="107"/>
      <c r="G98" s="106"/>
      <c r="H98" s="106"/>
      <c r="I98" s="106"/>
    </row>
    <row r="99" spans="1:9" ht="14.25" hidden="1" customHeight="1" x14ac:dyDescent="0.6">
      <c r="A99" s="29"/>
      <c r="B99" s="107"/>
      <c r="C99" s="116" t="s">
        <v>42</v>
      </c>
      <c r="D99" s="116" t="s">
        <v>43</v>
      </c>
      <c r="E99" s="116"/>
      <c r="F99" s="116" t="s">
        <v>47</v>
      </c>
      <c r="G99" s="106"/>
      <c r="H99" s="106"/>
      <c r="I99" s="106"/>
    </row>
    <row r="100" spans="1:9" x14ac:dyDescent="0.5">
      <c r="B100" s="107" t="s">
        <v>34</v>
      </c>
      <c r="C100" s="113" t="e">
        <f>#REF!*#REF!+#REF!/#REF!*#REF!</f>
        <v>#REF!</v>
      </c>
      <c r="D100" s="113" t="e">
        <f>#REF!*#REF!+#REF!/#REF!*#REF!</f>
        <v>#REF!</v>
      </c>
      <c r="E100" s="113"/>
      <c r="F100" s="113" t="e">
        <f>#REF!*#REF!+#REF!/#REF!*#REF!</f>
        <v>#REF!</v>
      </c>
      <c r="G100" s="106"/>
      <c r="H100" s="106"/>
      <c r="I100" s="106"/>
    </row>
    <row r="101" spans="1:9" x14ac:dyDescent="0.5">
      <c r="B101" s="107"/>
      <c r="C101" s="120" t="e">
        <f>C100/#REF!</f>
        <v>#REF!</v>
      </c>
      <c r="D101" s="120" t="e">
        <f>D100/#REF!</f>
        <v>#REF!</v>
      </c>
      <c r="E101" s="120"/>
      <c r="F101" s="120" t="e">
        <f>F100/#REF!</f>
        <v>#REF!</v>
      </c>
      <c r="G101" s="106"/>
      <c r="H101" s="106"/>
      <c r="I101" s="106"/>
    </row>
    <row r="102" spans="1:9" x14ac:dyDescent="0.5">
      <c r="B102" s="107"/>
      <c r="C102" s="107"/>
      <c r="D102" s="107"/>
      <c r="E102" s="107"/>
      <c r="F102" s="107"/>
      <c r="G102" s="106"/>
      <c r="H102" s="106"/>
      <c r="I102" s="106"/>
    </row>
    <row r="103" spans="1:9" x14ac:dyDescent="0.5">
      <c r="B103" s="107"/>
      <c r="C103" s="107"/>
      <c r="D103" s="107"/>
      <c r="E103" s="107"/>
      <c r="F103" s="107"/>
      <c r="G103" s="106"/>
      <c r="H103" s="106"/>
      <c r="I103" s="106"/>
    </row>
    <row r="104" spans="1:9" x14ac:dyDescent="0.5">
      <c r="B104" s="107"/>
      <c r="C104" s="107"/>
      <c r="D104" s="107"/>
      <c r="E104" s="107"/>
      <c r="F104" s="107"/>
      <c r="G104" s="106"/>
      <c r="H104" s="106"/>
      <c r="I104" s="106"/>
    </row>
    <row r="105" spans="1:9" x14ac:dyDescent="0.5">
      <c r="B105" s="107"/>
      <c r="C105" s="116" t="s">
        <v>42</v>
      </c>
      <c r="D105" s="116" t="s">
        <v>43</v>
      </c>
      <c r="E105" s="116"/>
      <c r="F105" s="116" t="s">
        <v>47</v>
      </c>
      <c r="G105" s="106"/>
      <c r="H105" s="106"/>
      <c r="I105" s="106"/>
    </row>
    <row r="106" spans="1:9" x14ac:dyDescent="0.5">
      <c r="B106" s="107" t="s">
        <v>35</v>
      </c>
      <c r="C106" s="113" t="e">
        <f>#REF!*#REF!+#REF!/#REF!*#REF!</f>
        <v>#REF!</v>
      </c>
      <c r="D106" s="113" t="e">
        <f>#REF!*#REF!+#REF!/#REF!*#REF!</f>
        <v>#REF!</v>
      </c>
      <c r="E106" s="113"/>
      <c r="F106" s="113" t="e">
        <f>#REF!*#REF!+#REF!/#REF!*#REF!</f>
        <v>#REF!</v>
      </c>
      <c r="G106" s="106"/>
      <c r="H106" s="106"/>
      <c r="I106" s="106"/>
    </row>
    <row r="107" spans="1:9" hidden="1" x14ac:dyDescent="0.5">
      <c r="B107" s="107"/>
      <c r="C107" s="120" t="e">
        <f>C106/$D$106</f>
        <v>#REF!</v>
      </c>
      <c r="D107" s="120" t="e">
        <f>D106/$D$106</f>
        <v>#REF!</v>
      </c>
      <c r="E107" s="120"/>
      <c r="F107" s="120" t="e">
        <f>F106/$D$106</f>
        <v>#REF!</v>
      </c>
      <c r="G107" s="106"/>
      <c r="H107" s="106"/>
      <c r="I107" s="106"/>
    </row>
    <row r="108" spans="1:9" hidden="1" x14ac:dyDescent="0.5">
      <c r="B108" s="107"/>
      <c r="C108" s="107"/>
      <c r="D108" s="107"/>
      <c r="E108" s="107"/>
      <c r="F108" s="107"/>
      <c r="G108" s="106"/>
      <c r="H108" s="106"/>
      <c r="I108" s="106"/>
    </row>
    <row r="109" spans="1:9" hidden="1" x14ac:dyDescent="0.5">
      <c r="B109" s="107"/>
      <c r="C109" s="107"/>
      <c r="D109" s="107"/>
      <c r="E109" s="107"/>
      <c r="F109" s="107"/>
      <c r="G109" s="106"/>
      <c r="H109" s="106"/>
      <c r="I109" s="106"/>
    </row>
    <row r="110" spans="1:9" hidden="1" x14ac:dyDescent="0.5">
      <c r="B110" s="107"/>
      <c r="C110" s="107"/>
      <c r="D110" s="107"/>
      <c r="E110" s="107"/>
      <c r="F110" s="107"/>
      <c r="G110" s="106"/>
      <c r="H110" s="106"/>
      <c r="I110" s="106"/>
    </row>
    <row r="111" spans="1:9" x14ac:dyDescent="0.5">
      <c r="B111" s="107"/>
      <c r="C111" s="116" t="s">
        <v>52</v>
      </c>
      <c r="D111" s="116" t="s">
        <v>43</v>
      </c>
      <c r="E111" s="116"/>
      <c r="F111" s="116" t="s">
        <v>47</v>
      </c>
      <c r="G111" s="106"/>
      <c r="H111" s="106"/>
      <c r="I111" s="106"/>
    </row>
    <row r="112" spans="1:9" x14ac:dyDescent="0.5">
      <c r="B112" s="107" t="s">
        <v>44</v>
      </c>
      <c r="C112" s="121" t="e">
        <f>#REF!*#REF!</f>
        <v>#REF!</v>
      </c>
      <c r="D112" s="121" t="e">
        <f>#REF!</f>
        <v>#REF!</v>
      </c>
      <c r="E112" s="121"/>
      <c r="F112" s="118">
        <v>0</v>
      </c>
      <c r="G112" s="106"/>
      <c r="H112" s="106"/>
      <c r="I112" s="106"/>
    </row>
    <row r="113" spans="2:9" x14ac:dyDescent="0.5">
      <c r="B113" s="107"/>
      <c r="C113" s="113" t="e">
        <f>C112*$C$19</f>
        <v>#REF!</v>
      </c>
      <c r="D113" s="113" t="e">
        <f>D112*$C$19</f>
        <v>#REF!</v>
      </c>
      <c r="E113" s="113"/>
      <c r="F113" s="113">
        <f>F112*$C$19</f>
        <v>0</v>
      </c>
      <c r="G113" s="106"/>
      <c r="H113" s="106"/>
      <c r="I113" s="106"/>
    </row>
    <row r="114" spans="2:9" x14ac:dyDescent="0.5">
      <c r="B114" s="107" t="s">
        <v>65</v>
      </c>
      <c r="C114" s="123" t="e">
        <f>#REF!/C113</f>
        <v>#REF!</v>
      </c>
      <c r="D114" s="123" t="e">
        <f>#REF!/D113</f>
        <v>#REF!</v>
      </c>
      <c r="E114" s="123"/>
      <c r="F114" s="123"/>
      <c r="G114" s="106"/>
      <c r="H114" s="106"/>
      <c r="I114" s="106"/>
    </row>
    <row r="115" spans="2:9" x14ac:dyDescent="0.5">
      <c r="B115" s="107"/>
      <c r="C115" s="107"/>
      <c r="D115" s="107"/>
      <c r="E115" s="107"/>
      <c r="F115" s="107"/>
      <c r="G115" s="106"/>
      <c r="H115" s="106"/>
      <c r="I115" s="106"/>
    </row>
    <row r="116" spans="2:9" x14ac:dyDescent="0.5">
      <c r="B116" s="107"/>
      <c r="C116" s="107"/>
      <c r="D116" s="107"/>
      <c r="E116" s="107"/>
      <c r="F116" s="107"/>
      <c r="G116" s="106"/>
      <c r="H116" s="106"/>
      <c r="I116" s="106"/>
    </row>
    <row r="117" spans="2:9" x14ac:dyDescent="0.5">
      <c r="B117" s="107"/>
      <c r="C117" s="107"/>
      <c r="D117" s="107"/>
      <c r="E117" s="107"/>
      <c r="F117" s="107"/>
      <c r="G117" s="106"/>
      <c r="H117" s="106"/>
      <c r="I117" s="106"/>
    </row>
    <row r="118" spans="2:9" x14ac:dyDescent="0.5">
      <c r="B118" s="117"/>
      <c r="C118" s="107"/>
      <c r="D118" s="107"/>
      <c r="E118" s="107"/>
      <c r="F118" s="107"/>
      <c r="G118" s="106"/>
      <c r="H118" s="106"/>
      <c r="I118" s="106"/>
    </row>
    <row r="119" spans="2:9" x14ac:dyDescent="0.5">
      <c r="B119" s="107"/>
      <c r="C119" s="116"/>
      <c r="D119" s="116"/>
      <c r="E119" s="116"/>
      <c r="F119" s="116"/>
      <c r="G119" s="106"/>
      <c r="H119" s="106"/>
      <c r="I119" s="106"/>
    </row>
    <row r="120" spans="2:9" x14ac:dyDescent="0.5">
      <c r="B120" s="107"/>
      <c r="C120" s="108"/>
      <c r="D120" s="108"/>
      <c r="E120" s="108"/>
      <c r="F120" s="108"/>
      <c r="G120" s="106"/>
      <c r="H120" s="106"/>
      <c r="I120" s="106"/>
    </row>
    <row r="121" spans="2:9" x14ac:dyDescent="0.5">
      <c r="B121" s="107"/>
      <c r="C121" s="113"/>
      <c r="D121" s="113"/>
      <c r="E121" s="113"/>
      <c r="F121" s="113"/>
      <c r="G121" s="106"/>
      <c r="H121" s="106"/>
      <c r="I121" s="106"/>
    </row>
    <row r="122" spans="2:9" x14ac:dyDescent="0.5">
      <c r="B122" s="107"/>
      <c r="C122" s="113"/>
      <c r="D122" s="113"/>
      <c r="E122" s="113"/>
      <c r="F122" s="113"/>
      <c r="G122" s="106"/>
      <c r="H122" s="106"/>
      <c r="I122" s="106"/>
    </row>
    <row r="123" spans="2:9" x14ac:dyDescent="0.5">
      <c r="B123" s="107"/>
      <c r="C123" s="113"/>
      <c r="D123" s="113"/>
      <c r="E123" s="113"/>
      <c r="F123" s="113"/>
      <c r="G123" s="106"/>
      <c r="H123" s="106"/>
      <c r="I123" s="106"/>
    </row>
    <row r="124" spans="2:9" x14ac:dyDescent="0.5">
      <c r="B124" s="107"/>
      <c r="C124" s="113"/>
      <c r="D124" s="113"/>
      <c r="E124" s="113"/>
      <c r="F124" s="113"/>
      <c r="G124" s="106"/>
      <c r="H124" s="106"/>
      <c r="I124" s="106"/>
    </row>
    <row r="125" spans="2:9" x14ac:dyDescent="0.5">
      <c r="B125" s="107"/>
      <c r="C125" s="113"/>
      <c r="D125" s="113"/>
      <c r="E125" s="113"/>
      <c r="F125" s="113"/>
      <c r="G125" s="106"/>
      <c r="H125" s="106"/>
      <c r="I125" s="106"/>
    </row>
    <row r="126" spans="2:9" x14ac:dyDescent="0.5">
      <c r="B126" s="107"/>
      <c r="C126" s="113"/>
      <c r="D126" s="113"/>
      <c r="E126" s="113"/>
      <c r="F126" s="113"/>
      <c r="G126" s="106"/>
      <c r="H126" s="106"/>
      <c r="I126" s="106"/>
    </row>
    <row r="127" spans="2:9" x14ac:dyDescent="0.5">
      <c r="B127" s="107"/>
      <c r="C127" s="113"/>
      <c r="D127" s="113"/>
      <c r="E127" s="113"/>
      <c r="F127" s="113"/>
      <c r="G127" s="106"/>
      <c r="H127" s="106"/>
      <c r="I127" s="106"/>
    </row>
    <row r="128" spans="2:9" x14ac:dyDescent="0.5">
      <c r="B128" s="107"/>
      <c r="C128" s="113"/>
      <c r="D128" s="113"/>
      <c r="E128" s="113"/>
      <c r="F128" s="113"/>
      <c r="G128" s="106"/>
      <c r="H128" s="106"/>
      <c r="I128" s="106"/>
    </row>
    <row r="129" spans="2:9" x14ac:dyDescent="0.5">
      <c r="B129" s="107"/>
      <c r="C129" s="113"/>
      <c r="D129" s="113"/>
      <c r="E129" s="113"/>
      <c r="F129" s="113"/>
      <c r="G129" s="106"/>
      <c r="H129" s="106"/>
      <c r="I129" s="106"/>
    </row>
    <row r="130" spans="2:9" x14ac:dyDescent="0.5">
      <c r="B130" s="107"/>
      <c r="C130" s="113"/>
      <c r="D130" s="113"/>
      <c r="E130" s="113"/>
      <c r="F130" s="113"/>
      <c r="G130" s="106"/>
      <c r="H130" s="106"/>
      <c r="I130" s="106"/>
    </row>
    <row r="131" spans="2:9" x14ac:dyDescent="0.5">
      <c r="B131" s="107"/>
      <c r="C131" s="113"/>
      <c r="D131" s="113"/>
      <c r="E131" s="113"/>
      <c r="F131" s="113"/>
      <c r="G131" s="106"/>
      <c r="H131" s="106"/>
      <c r="I131" s="106"/>
    </row>
    <row r="132" spans="2:9" x14ac:dyDescent="0.5">
      <c r="B132" s="107"/>
      <c r="C132" s="113"/>
      <c r="D132" s="113"/>
      <c r="E132" s="113"/>
      <c r="F132" s="113"/>
      <c r="G132" s="106"/>
      <c r="H132" s="106"/>
      <c r="I132" s="106"/>
    </row>
    <row r="133" spans="2:9" x14ac:dyDescent="0.5">
      <c r="B133" s="107"/>
      <c r="C133" s="113"/>
      <c r="D133" s="113"/>
      <c r="E133" s="113"/>
      <c r="F133" s="113"/>
      <c r="G133" s="106"/>
      <c r="H133" s="106"/>
      <c r="I133" s="106"/>
    </row>
    <row r="134" spans="2:9" x14ac:dyDescent="0.5">
      <c r="B134" s="107"/>
      <c r="C134" s="113"/>
      <c r="D134" s="113"/>
      <c r="E134" s="113"/>
      <c r="F134" s="113"/>
      <c r="G134" s="106"/>
      <c r="H134" s="106"/>
      <c r="I134" s="106"/>
    </row>
    <row r="135" spans="2:9" x14ac:dyDescent="0.5">
      <c r="B135" s="107"/>
      <c r="C135" s="113"/>
      <c r="D135" s="113"/>
      <c r="E135" s="113"/>
      <c r="F135" s="113"/>
      <c r="G135" s="106"/>
      <c r="H135" s="106"/>
      <c r="I135" s="106"/>
    </row>
    <row r="136" spans="2:9" x14ac:dyDescent="0.5">
      <c r="B136" s="107"/>
      <c r="C136" s="113"/>
      <c r="D136" s="113"/>
      <c r="E136" s="113"/>
      <c r="F136" s="113"/>
      <c r="G136" s="106"/>
      <c r="H136" s="106"/>
      <c r="I136" s="106"/>
    </row>
    <row r="137" spans="2:9" x14ac:dyDescent="0.5">
      <c r="B137" s="107"/>
      <c r="C137" s="113"/>
      <c r="D137" s="113"/>
      <c r="E137" s="113"/>
      <c r="F137" s="113"/>
      <c r="G137" s="106"/>
      <c r="H137" s="106"/>
      <c r="I137" s="106"/>
    </row>
    <row r="138" spans="2:9" x14ac:dyDescent="0.5">
      <c r="B138" s="107"/>
      <c r="C138" s="113"/>
      <c r="D138" s="113"/>
      <c r="E138" s="113"/>
      <c r="F138" s="113"/>
      <c r="G138" s="106"/>
      <c r="H138" s="106"/>
      <c r="I138" s="106"/>
    </row>
    <row r="139" spans="2:9" x14ac:dyDescent="0.5">
      <c r="B139" s="107"/>
      <c r="C139" s="113"/>
      <c r="D139" s="113"/>
      <c r="E139" s="113"/>
      <c r="F139" s="113"/>
      <c r="G139" s="106"/>
      <c r="H139" s="106"/>
      <c r="I139" s="106"/>
    </row>
    <row r="140" spans="2:9" x14ac:dyDescent="0.5">
      <c r="B140" s="107"/>
      <c r="C140" s="113"/>
      <c r="D140" s="113"/>
      <c r="E140" s="113"/>
      <c r="F140" s="113"/>
      <c r="G140" s="106"/>
      <c r="H140" s="106"/>
      <c r="I140" s="106"/>
    </row>
    <row r="141" spans="2:9" x14ac:dyDescent="0.5">
      <c r="B141" s="107"/>
      <c r="C141" s="113"/>
      <c r="D141" s="113"/>
      <c r="E141" s="113"/>
      <c r="F141" s="113"/>
      <c r="G141" s="106"/>
      <c r="H141" s="106"/>
      <c r="I141" s="106"/>
    </row>
    <row r="142" spans="2:9" x14ac:dyDescent="0.5">
      <c r="C142" s="115"/>
      <c r="D142" s="115"/>
      <c r="E142" s="115"/>
      <c r="F142" s="115"/>
      <c r="G142" s="88"/>
      <c r="H142" s="88"/>
      <c r="I142" s="88"/>
    </row>
    <row r="143" spans="2:9" x14ac:dyDescent="0.5">
      <c r="C143" s="115"/>
      <c r="D143" s="115"/>
      <c r="E143" s="115"/>
      <c r="F143" s="115"/>
      <c r="G143" s="88"/>
      <c r="H143" s="88"/>
      <c r="I143" s="88"/>
    </row>
    <row r="144" spans="2:9" x14ac:dyDescent="0.5">
      <c r="C144" s="115"/>
      <c r="D144" s="115"/>
      <c r="E144" s="115"/>
      <c r="F144" s="115"/>
      <c r="G144" s="88"/>
      <c r="H144" s="88"/>
      <c r="I144" s="88"/>
    </row>
    <row r="145" spans="2:15" s="107" customFormat="1" x14ac:dyDescent="0.5">
      <c r="B145" s="4"/>
      <c r="C145" s="115"/>
      <c r="D145" s="115"/>
      <c r="E145" s="115"/>
      <c r="F145" s="115"/>
      <c r="G145" s="88"/>
      <c r="H145" s="88"/>
      <c r="I145" s="88"/>
      <c r="O145" s="4"/>
    </row>
    <row r="146" spans="2:15" s="107" customFormat="1" x14ac:dyDescent="0.5">
      <c r="B146" s="4"/>
      <c r="C146" s="4"/>
      <c r="D146" s="4"/>
      <c r="E146" s="4"/>
      <c r="F146" s="4"/>
      <c r="G146" s="88"/>
      <c r="H146" s="88"/>
      <c r="I146" s="88"/>
      <c r="J146" s="106"/>
      <c r="O146" s="4"/>
    </row>
    <row r="147" spans="2:15" s="107" customFormat="1" ht="64.5" x14ac:dyDescent="0.5">
      <c r="B147" s="18"/>
      <c r="C147" s="4"/>
      <c r="D147" s="4"/>
      <c r="E147" s="4"/>
      <c r="F147" s="4"/>
      <c r="G147" s="88"/>
      <c r="H147" s="88"/>
      <c r="I147" s="88"/>
      <c r="J147" s="111" t="s">
        <v>55</v>
      </c>
      <c r="K147" s="111" t="s">
        <v>60</v>
      </c>
      <c r="L147" s="111" t="s">
        <v>56</v>
      </c>
      <c r="M147" s="111"/>
      <c r="N147" s="112"/>
      <c r="O147" s="4"/>
    </row>
    <row r="148" spans="2:15" s="107" customFormat="1" x14ac:dyDescent="0.5">
      <c r="B148" s="4"/>
      <c r="C148" s="124"/>
      <c r="D148" s="124"/>
      <c r="E148" s="124"/>
      <c r="F148" s="124"/>
      <c r="G148" s="88"/>
      <c r="H148" s="88"/>
      <c r="I148" s="88"/>
      <c r="J148" s="114" t="e">
        <f>IF(#REF!&lt;#REF!,0,1)</f>
        <v>#REF!</v>
      </c>
      <c r="K148" s="114" t="e">
        <f>IF(#REF!&lt;#REF!,0,1)</f>
        <v>#REF!</v>
      </c>
      <c r="L148" s="114" t="e">
        <f>IF(#REF!&lt;#REF!,0,1)</f>
        <v>#REF!</v>
      </c>
      <c r="M148" s="106"/>
      <c r="N148" s="107">
        <v>1</v>
      </c>
      <c r="O148" s="115" t="e">
        <f>#REF!-F63</f>
        <v>#REF!</v>
      </c>
    </row>
    <row r="149" spans="2:15" s="107" customFormat="1" x14ac:dyDescent="0.5">
      <c r="B149" s="4"/>
      <c r="C149" s="125"/>
      <c r="D149" s="125"/>
      <c r="E149" s="125"/>
      <c r="F149" s="125"/>
      <c r="G149" s="88"/>
      <c r="H149" s="88"/>
      <c r="I149" s="88"/>
      <c r="J149" s="114" t="e">
        <f>IF(#REF!&lt;#REF!,0,1)</f>
        <v>#REF!</v>
      </c>
      <c r="K149" s="114" t="e">
        <f>IF(#REF!&lt;#REF!,0,1)</f>
        <v>#REF!</v>
      </c>
      <c r="L149" s="114" t="e">
        <f>IF(#REF!&lt;#REF!,0,1)</f>
        <v>#REF!</v>
      </c>
      <c r="M149" s="106"/>
      <c r="N149" s="107">
        <v>2</v>
      </c>
      <c r="O149" s="115" t="e">
        <f>#REF!-F64</f>
        <v>#REF!</v>
      </c>
    </row>
    <row r="150" spans="2:15" s="107" customFormat="1" x14ac:dyDescent="0.5">
      <c r="B150" s="4"/>
      <c r="C150" s="115"/>
      <c r="D150" s="115"/>
      <c r="E150" s="115"/>
      <c r="F150" s="115"/>
      <c r="G150" s="88"/>
      <c r="H150" s="88"/>
      <c r="I150" s="88"/>
      <c r="J150" s="114" t="e">
        <f>IF(#REF!&lt;#REF!,0,1)</f>
        <v>#REF!</v>
      </c>
      <c r="K150" s="114" t="e">
        <f>IF(#REF!&lt;#REF!,0,1)</f>
        <v>#REF!</v>
      </c>
      <c r="L150" s="114" t="e">
        <f>IF(#REF!&lt;#REF!,0,1)</f>
        <v>#REF!</v>
      </c>
      <c r="M150" s="106"/>
      <c r="N150" s="107">
        <v>3</v>
      </c>
      <c r="O150" s="115" t="e">
        <f>#REF!-F65</f>
        <v>#REF!</v>
      </c>
    </row>
    <row r="151" spans="2:15" s="107" customFormat="1" x14ac:dyDescent="0.5">
      <c r="B151" s="4"/>
      <c r="C151" s="115"/>
      <c r="D151" s="115"/>
      <c r="E151" s="115"/>
      <c r="F151" s="115"/>
      <c r="G151" s="88"/>
      <c r="H151" s="88"/>
      <c r="I151" s="88"/>
      <c r="J151" s="114" t="e">
        <f>IF(#REF!&lt;#REF!,0,1)</f>
        <v>#REF!</v>
      </c>
      <c r="K151" s="114" t="e">
        <f>IF(#REF!&lt;#REF!,0,1)</f>
        <v>#REF!</v>
      </c>
      <c r="L151" s="114" t="e">
        <f>IF(#REF!&lt;#REF!,0,1)</f>
        <v>#REF!</v>
      </c>
      <c r="M151" s="106"/>
      <c r="N151" s="107">
        <v>4</v>
      </c>
      <c r="O151" s="115" t="e">
        <f>#REF!-F66</f>
        <v>#REF!</v>
      </c>
    </row>
    <row r="152" spans="2:15" s="107" customFormat="1" x14ac:dyDescent="0.5">
      <c r="B152" s="4"/>
      <c r="C152" s="115"/>
      <c r="D152" s="115"/>
      <c r="E152" s="115"/>
      <c r="F152" s="115"/>
      <c r="G152" s="88"/>
      <c r="H152" s="88"/>
      <c r="I152" s="88"/>
      <c r="J152" s="114" t="e">
        <f>IF(#REF!&lt;#REF!,0,1)</f>
        <v>#REF!</v>
      </c>
      <c r="K152" s="114" t="e">
        <f>IF(#REF!&lt;#REF!,0,1)</f>
        <v>#REF!</v>
      </c>
      <c r="L152" s="114" t="e">
        <f>IF(#REF!&lt;#REF!,0,1)</f>
        <v>#REF!</v>
      </c>
      <c r="M152" s="106"/>
      <c r="N152" s="107">
        <v>5</v>
      </c>
      <c r="O152" s="115" t="e">
        <f>#REF!-F67</f>
        <v>#REF!</v>
      </c>
    </row>
    <row r="153" spans="2:15" s="107" customFormat="1" x14ac:dyDescent="0.5">
      <c r="B153" s="4"/>
      <c r="C153" s="115"/>
      <c r="D153" s="115"/>
      <c r="E153" s="115"/>
      <c r="F153" s="115"/>
      <c r="G153" s="88"/>
      <c r="H153" s="88"/>
      <c r="I153" s="88"/>
      <c r="J153" s="114" t="e">
        <f>IF(#REF!&lt;#REF!,0,1)</f>
        <v>#REF!</v>
      </c>
      <c r="K153" s="114" t="e">
        <f>IF(#REF!&lt;#REF!,0,1)</f>
        <v>#REF!</v>
      </c>
      <c r="L153" s="114" t="e">
        <f>IF(#REF!&lt;#REF!,0,1)</f>
        <v>#REF!</v>
      </c>
      <c r="M153" s="106"/>
      <c r="N153" s="107">
        <v>6</v>
      </c>
      <c r="O153" s="115" t="e">
        <f>#REF!-F68</f>
        <v>#REF!</v>
      </c>
    </row>
    <row r="154" spans="2:15" s="107" customFormat="1" x14ac:dyDescent="0.5">
      <c r="B154" s="4"/>
      <c r="C154" s="115"/>
      <c r="D154" s="115"/>
      <c r="E154" s="115"/>
      <c r="F154" s="115"/>
      <c r="G154" s="88"/>
      <c r="H154" s="88"/>
      <c r="I154" s="88"/>
      <c r="J154" s="114" t="e">
        <f>IF(#REF!&lt;#REF!,0,1)</f>
        <v>#REF!</v>
      </c>
      <c r="K154" s="114" t="e">
        <f>IF(#REF!&lt;#REF!,0,1)</f>
        <v>#REF!</v>
      </c>
      <c r="L154" s="114" t="e">
        <f>IF(#REF!&lt;#REF!,0,1)</f>
        <v>#REF!</v>
      </c>
      <c r="M154" s="106"/>
      <c r="N154" s="107">
        <v>7</v>
      </c>
      <c r="O154" s="115" t="e">
        <f>#REF!-F69</f>
        <v>#REF!</v>
      </c>
    </row>
    <row r="155" spans="2:15" s="107" customFormat="1" x14ac:dyDescent="0.5">
      <c r="B155" s="4"/>
      <c r="C155" s="115"/>
      <c r="D155" s="115"/>
      <c r="E155" s="115"/>
      <c r="F155" s="115"/>
      <c r="G155" s="88"/>
      <c r="H155" s="88"/>
      <c r="I155" s="88"/>
      <c r="J155" s="114" t="e">
        <f>IF(#REF!&lt;#REF!,0,1)</f>
        <v>#REF!</v>
      </c>
      <c r="K155" s="114" t="e">
        <f>IF(#REF!&lt;#REF!,0,1)</f>
        <v>#REF!</v>
      </c>
      <c r="L155" s="114" t="e">
        <f>IF(#REF!&lt;#REF!,0,1)</f>
        <v>#REF!</v>
      </c>
      <c r="M155" s="106"/>
      <c r="N155" s="107">
        <v>8</v>
      </c>
      <c r="O155" s="115" t="e">
        <f>#REF!-F70</f>
        <v>#REF!</v>
      </c>
    </row>
    <row r="156" spans="2:15" s="107" customFormat="1" x14ac:dyDescent="0.5">
      <c r="B156" s="4"/>
      <c r="C156" s="115"/>
      <c r="D156" s="115"/>
      <c r="E156" s="115"/>
      <c r="F156" s="115"/>
      <c r="G156" s="88"/>
      <c r="H156" s="88"/>
      <c r="I156" s="88"/>
      <c r="J156" s="114" t="e">
        <f>IF(#REF!&lt;#REF!,0,1)</f>
        <v>#REF!</v>
      </c>
      <c r="K156" s="114" t="e">
        <f>IF(#REF!&lt;#REF!,0,1)</f>
        <v>#REF!</v>
      </c>
      <c r="L156" s="114" t="e">
        <f>IF(#REF!&lt;#REF!,0,1)</f>
        <v>#REF!</v>
      </c>
      <c r="M156" s="106"/>
      <c r="N156" s="107">
        <v>9</v>
      </c>
      <c r="O156" s="115" t="e">
        <f>#REF!-F71</f>
        <v>#REF!</v>
      </c>
    </row>
    <row r="157" spans="2:15" s="107" customFormat="1" x14ac:dyDescent="0.5">
      <c r="B157" s="4"/>
      <c r="C157" s="115"/>
      <c r="D157" s="115"/>
      <c r="E157" s="115"/>
      <c r="F157" s="115"/>
      <c r="G157" s="88"/>
      <c r="H157" s="88"/>
      <c r="I157" s="88"/>
      <c r="J157" s="114" t="e">
        <f>IF(#REF!&lt;#REF!,0,1)</f>
        <v>#REF!</v>
      </c>
      <c r="K157" s="114" t="e">
        <f>IF(#REF!&lt;#REF!,0,1)</f>
        <v>#REF!</v>
      </c>
      <c r="L157" s="114" t="e">
        <f>IF(#REF!&lt;#REF!,0,1)</f>
        <v>#REF!</v>
      </c>
      <c r="M157" s="106"/>
      <c r="N157" s="107">
        <v>10</v>
      </c>
      <c r="O157" s="115" t="e">
        <f>#REF!-F72</f>
        <v>#REF!</v>
      </c>
    </row>
    <row r="158" spans="2:15" s="107" customFormat="1" x14ac:dyDescent="0.5">
      <c r="B158" s="4"/>
      <c r="C158" s="115"/>
      <c r="D158" s="115"/>
      <c r="E158" s="115"/>
      <c r="F158" s="115"/>
      <c r="G158" s="88"/>
      <c r="H158" s="88"/>
      <c r="I158" s="88"/>
      <c r="J158" s="114" t="e">
        <f>IF(#REF!&lt;#REF!,0,1)</f>
        <v>#REF!</v>
      </c>
      <c r="K158" s="114" t="e">
        <f>IF(#REF!&lt;#REF!,0,1)</f>
        <v>#REF!</v>
      </c>
      <c r="L158" s="114" t="e">
        <f>IF(#REF!&lt;#REF!,0,1)</f>
        <v>#REF!</v>
      </c>
      <c r="M158" s="106"/>
      <c r="N158" s="107">
        <v>11</v>
      </c>
      <c r="O158" s="115" t="e">
        <f>#REF!-F73</f>
        <v>#REF!</v>
      </c>
    </row>
    <row r="159" spans="2:15" s="107" customFormat="1" x14ac:dyDescent="0.5">
      <c r="B159" s="4"/>
      <c r="C159" s="115"/>
      <c r="D159" s="115"/>
      <c r="E159" s="115"/>
      <c r="F159" s="115"/>
      <c r="G159" s="88"/>
      <c r="H159" s="88"/>
      <c r="I159" s="88"/>
      <c r="J159" s="114" t="e">
        <f>IF(#REF!&lt;#REF!,0,1)</f>
        <v>#REF!</v>
      </c>
      <c r="K159" s="114" t="e">
        <f>IF(#REF!&lt;#REF!,0,1)</f>
        <v>#REF!</v>
      </c>
      <c r="L159" s="114" t="e">
        <f>IF(#REF!&lt;#REF!,0,1)</f>
        <v>#REF!</v>
      </c>
      <c r="M159" s="106"/>
      <c r="N159" s="107">
        <v>12</v>
      </c>
      <c r="O159" s="115" t="e">
        <f>#REF!-F74</f>
        <v>#REF!</v>
      </c>
    </row>
    <row r="160" spans="2:15" s="107" customFormat="1" x14ac:dyDescent="0.5">
      <c r="B160" s="4"/>
      <c r="C160" s="115"/>
      <c r="D160" s="115"/>
      <c r="E160" s="115"/>
      <c r="F160" s="115"/>
      <c r="G160" s="88"/>
      <c r="H160" s="88"/>
      <c r="I160" s="88"/>
      <c r="J160" s="114" t="e">
        <f>IF(#REF!&lt;#REF!,0,1)</f>
        <v>#REF!</v>
      </c>
      <c r="K160" s="114" t="e">
        <f>IF(#REF!&lt;#REF!,0,1)</f>
        <v>#REF!</v>
      </c>
      <c r="L160" s="114" t="e">
        <f>IF(#REF!&lt;#REF!,0,1)</f>
        <v>#REF!</v>
      </c>
      <c r="M160" s="106"/>
      <c r="N160" s="107">
        <v>13</v>
      </c>
      <c r="O160" s="115" t="e">
        <f>#REF!-F75</f>
        <v>#REF!</v>
      </c>
    </row>
    <row r="161" spans="2:15" s="107" customFormat="1" x14ac:dyDescent="0.5">
      <c r="B161" s="4"/>
      <c r="C161" s="115"/>
      <c r="D161" s="115"/>
      <c r="E161" s="115"/>
      <c r="F161" s="115"/>
      <c r="G161" s="88"/>
      <c r="H161" s="88"/>
      <c r="I161" s="88"/>
      <c r="J161" s="114" t="e">
        <f>IF(#REF!&lt;#REF!,0,1)</f>
        <v>#REF!</v>
      </c>
      <c r="K161" s="114" t="e">
        <f>IF(#REF!&lt;#REF!,0,1)</f>
        <v>#REF!</v>
      </c>
      <c r="L161" s="114" t="e">
        <f>IF(#REF!&lt;#REF!,0,1)</f>
        <v>#REF!</v>
      </c>
      <c r="M161" s="106"/>
      <c r="N161" s="107">
        <v>14</v>
      </c>
      <c r="O161" s="115" t="e">
        <f>#REF!-F76</f>
        <v>#REF!</v>
      </c>
    </row>
    <row r="162" spans="2:15" s="107" customFormat="1" x14ac:dyDescent="0.5">
      <c r="B162" s="4"/>
      <c r="C162" s="115"/>
      <c r="D162" s="115"/>
      <c r="E162" s="115"/>
      <c r="F162" s="115"/>
      <c r="G162" s="88"/>
      <c r="H162" s="88"/>
      <c r="I162" s="88"/>
      <c r="J162" s="114" t="e">
        <f>IF(#REF!&lt;#REF!,0,1)</f>
        <v>#REF!</v>
      </c>
      <c r="K162" s="114" t="e">
        <f>IF(#REF!&lt;#REF!,0,1)</f>
        <v>#REF!</v>
      </c>
      <c r="L162" s="114" t="e">
        <f>IF(#REF!&lt;#REF!,0,1)</f>
        <v>#REF!</v>
      </c>
      <c r="M162" s="106"/>
      <c r="N162" s="107">
        <v>15</v>
      </c>
      <c r="O162" s="115" t="e">
        <f>#REF!-F77</f>
        <v>#REF!</v>
      </c>
    </row>
    <row r="163" spans="2:15" s="107" customFormat="1" x14ac:dyDescent="0.5">
      <c r="B163" s="4"/>
      <c r="C163" s="115"/>
      <c r="D163" s="115"/>
      <c r="E163" s="115"/>
      <c r="F163" s="115"/>
      <c r="G163" s="88"/>
      <c r="H163" s="88"/>
      <c r="I163" s="88"/>
      <c r="J163" s="114" t="e">
        <f>IF(#REF!&lt;#REF!,0,1)</f>
        <v>#REF!</v>
      </c>
      <c r="K163" s="114" t="e">
        <f>IF(#REF!&lt;#REF!,0,1)</f>
        <v>#REF!</v>
      </c>
      <c r="L163" s="114" t="e">
        <f>IF(#REF!&lt;#REF!,0,1)</f>
        <v>#REF!</v>
      </c>
      <c r="M163" s="106"/>
      <c r="N163" s="107">
        <v>16</v>
      </c>
      <c r="O163" s="115" t="e">
        <f>#REF!-F78</f>
        <v>#REF!</v>
      </c>
    </row>
    <row r="164" spans="2:15" s="107" customFormat="1" x14ac:dyDescent="0.5">
      <c r="B164" s="4"/>
      <c r="C164" s="115"/>
      <c r="D164" s="115"/>
      <c r="E164" s="115"/>
      <c r="F164" s="115"/>
      <c r="G164" s="88"/>
      <c r="H164" s="88"/>
      <c r="I164" s="88"/>
      <c r="J164" s="114" t="e">
        <f>IF(#REF!&lt;#REF!,0,1)</f>
        <v>#REF!</v>
      </c>
      <c r="K164" s="114" t="e">
        <f>IF(#REF!&lt;#REF!,0,1)</f>
        <v>#REF!</v>
      </c>
      <c r="L164" s="114" t="e">
        <f>IF(#REF!&lt;#REF!,0,1)</f>
        <v>#REF!</v>
      </c>
      <c r="M164" s="106"/>
      <c r="N164" s="107">
        <v>17</v>
      </c>
      <c r="O164" s="115" t="e">
        <f>#REF!-F79</f>
        <v>#REF!</v>
      </c>
    </row>
    <row r="165" spans="2:15" s="107" customFormat="1" x14ac:dyDescent="0.5">
      <c r="B165" s="4"/>
      <c r="C165" s="115"/>
      <c r="D165" s="115"/>
      <c r="E165" s="115"/>
      <c r="F165" s="115"/>
      <c r="G165" s="88"/>
      <c r="H165" s="88"/>
      <c r="I165" s="88"/>
      <c r="J165" s="114" t="e">
        <f>IF(#REF!&lt;#REF!,0,1)</f>
        <v>#REF!</v>
      </c>
      <c r="K165" s="114" t="e">
        <f>IF(#REF!&lt;#REF!,0,1)</f>
        <v>#REF!</v>
      </c>
      <c r="L165" s="114" t="e">
        <f>IF(#REF!&lt;#REF!,0,1)</f>
        <v>#REF!</v>
      </c>
      <c r="M165" s="106"/>
      <c r="N165" s="107">
        <v>18</v>
      </c>
      <c r="O165" s="115" t="e">
        <f>#REF!-F80</f>
        <v>#REF!</v>
      </c>
    </row>
    <row r="166" spans="2:15" s="107" customFormat="1" x14ac:dyDescent="0.5">
      <c r="B166" s="4"/>
      <c r="C166" s="115"/>
      <c r="D166" s="115"/>
      <c r="E166" s="115"/>
      <c r="F166" s="115"/>
      <c r="G166" s="88"/>
      <c r="H166" s="88"/>
      <c r="I166" s="88"/>
      <c r="J166" s="114" t="e">
        <f>IF(#REF!&lt;#REF!,0,1)</f>
        <v>#REF!</v>
      </c>
      <c r="K166" s="114" t="e">
        <f>IF(#REF!&lt;#REF!,0,1)</f>
        <v>#REF!</v>
      </c>
      <c r="L166" s="114" t="e">
        <f>IF(#REF!&lt;#REF!,0,1)</f>
        <v>#REF!</v>
      </c>
      <c r="M166" s="106"/>
      <c r="N166" s="107">
        <v>19</v>
      </c>
      <c r="O166" s="115" t="e">
        <f>#REF!-F81</f>
        <v>#REF!</v>
      </c>
    </row>
    <row r="167" spans="2:15" s="107" customFormat="1" x14ac:dyDescent="0.5">
      <c r="B167" s="4"/>
      <c r="C167" s="115"/>
      <c r="D167" s="115"/>
      <c r="E167" s="115"/>
      <c r="F167" s="115"/>
      <c r="G167" s="88"/>
      <c r="H167" s="88"/>
      <c r="I167" s="88"/>
      <c r="J167" s="114" t="e">
        <f>IF(#REF!&lt;#REF!,0,1)</f>
        <v>#REF!</v>
      </c>
      <c r="K167" s="114" t="e">
        <f>IF(#REF!&lt;#REF!,0,1)</f>
        <v>#REF!</v>
      </c>
      <c r="L167" s="114" t="e">
        <f>IF(#REF!&lt;#REF!,0,1)</f>
        <v>#REF!</v>
      </c>
      <c r="M167" s="106"/>
      <c r="N167" s="107">
        <v>20</v>
      </c>
      <c r="O167" s="115" t="e">
        <f>#REF!-F82</f>
        <v>#REF!</v>
      </c>
    </row>
    <row r="168" spans="2:15" s="107" customFormat="1" x14ac:dyDescent="0.5">
      <c r="B168" s="4"/>
      <c r="C168" s="115"/>
      <c r="D168" s="115"/>
      <c r="E168" s="115"/>
      <c r="F168" s="115"/>
      <c r="G168" s="88"/>
      <c r="H168" s="88"/>
      <c r="I168" s="88"/>
      <c r="J168" s="114" t="e">
        <f>IF(#REF!&lt;#REF!,0,1)</f>
        <v>#REF!</v>
      </c>
      <c r="K168" s="114" t="e">
        <f>IF(#REF!&lt;#REF!,0,1)</f>
        <v>#REF!</v>
      </c>
      <c r="L168" s="114" t="e">
        <f>IF(#REF!&lt;#REF!,0,1)</f>
        <v>#REF!</v>
      </c>
      <c r="M168" s="106"/>
      <c r="O168" s="4"/>
    </row>
    <row r="169" spans="2:15" s="107" customFormat="1" x14ac:dyDescent="0.5">
      <c r="B169" s="4"/>
      <c r="C169" s="115"/>
      <c r="D169" s="115"/>
      <c r="E169" s="115"/>
      <c r="F169" s="115"/>
      <c r="G169" s="88"/>
      <c r="H169" s="88"/>
      <c r="I169" s="88"/>
      <c r="J169" s="114" t="e">
        <f>IF(#REF!&lt;#REF!,0,1)</f>
        <v>#REF!</v>
      </c>
      <c r="K169" s="114" t="e">
        <f>IF(#REF!&lt;#REF!,0,1)</f>
        <v>#REF!</v>
      </c>
      <c r="L169" s="114" t="e">
        <f>IF(#REF!&lt;#REF!,0,1)</f>
        <v>#REF!</v>
      </c>
      <c r="M169" s="106"/>
      <c r="O169" s="4"/>
    </row>
    <row r="170" spans="2:15" s="107" customFormat="1" x14ac:dyDescent="0.5">
      <c r="B170" s="4"/>
      <c r="C170" s="115"/>
      <c r="D170" s="115"/>
      <c r="E170" s="115"/>
      <c r="F170" s="115"/>
      <c r="G170" s="88"/>
      <c r="H170" s="88"/>
      <c r="I170" s="88"/>
      <c r="J170" s="114" t="e">
        <f>IF(#REF!&lt;#REF!,0,1)</f>
        <v>#REF!</v>
      </c>
      <c r="K170" s="114" t="e">
        <f>IF(#REF!&lt;#REF!,0,1)</f>
        <v>#REF!</v>
      </c>
      <c r="L170" s="114" t="e">
        <f>IF(#REF!&lt;#REF!,0,1)</f>
        <v>#REF!</v>
      </c>
      <c r="M170" s="106"/>
      <c r="O170" s="4"/>
    </row>
    <row r="171" spans="2:15" s="107" customFormat="1" x14ac:dyDescent="0.5">
      <c r="B171" s="4"/>
      <c r="C171" s="115"/>
      <c r="D171" s="115"/>
      <c r="E171" s="115"/>
      <c r="F171" s="115"/>
      <c r="G171" s="88"/>
      <c r="H171" s="88"/>
      <c r="I171" s="88"/>
      <c r="J171" s="114" t="e">
        <f>IF(#REF!&lt;#REF!,0,1)</f>
        <v>#REF!</v>
      </c>
      <c r="K171" s="114" t="e">
        <f>IF(#REF!&lt;#REF!,0,1)</f>
        <v>#REF!</v>
      </c>
      <c r="L171" s="114" t="e">
        <f>IF(#REF!&lt;#REF!,0,1)</f>
        <v>#REF!</v>
      </c>
      <c r="M171" s="106"/>
      <c r="O171" s="4"/>
    </row>
    <row r="172" spans="2:15" s="107" customFormat="1" x14ac:dyDescent="0.5">
      <c r="B172" s="4"/>
      <c r="C172" s="115"/>
      <c r="D172" s="115"/>
      <c r="E172" s="115"/>
      <c r="F172" s="115"/>
      <c r="G172" s="88"/>
      <c r="H172" s="88"/>
      <c r="I172" s="88"/>
      <c r="J172" s="106" t="e">
        <f>IF(#REF!&lt;#REF!,0,1)</f>
        <v>#REF!</v>
      </c>
      <c r="K172" s="114" t="e">
        <f>IF(#REF!&lt;#REF!,0,1)</f>
        <v>#REF!</v>
      </c>
      <c r="L172" s="106" t="e">
        <f>IF(#REF!&lt;#REF!,0,1)</f>
        <v>#REF!</v>
      </c>
      <c r="M172" s="106"/>
      <c r="O172" s="4"/>
    </row>
    <row r="173" spans="2:15" s="107" customFormat="1" x14ac:dyDescent="0.5">
      <c r="B173" s="4"/>
      <c r="C173" s="115"/>
      <c r="D173" s="115"/>
      <c r="E173" s="115"/>
      <c r="F173" s="115"/>
      <c r="G173" s="88"/>
      <c r="H173" s="88"/>
      <c r="I173" s="88"/>
      <c r="M173" s="107">
        <f>SUM(M148:M172)</f>
        <v>0</v>
      </c>
      <c r="O173" s="4"/>
    </row>
    <row r="174" spans="2:15" s="107" customFormat="1" x14ac:dyDescent="0.5">
      <c r="B174" s="4"/>
      <c r="C174" s="115"/>
      <c r="D174" s="115"/>
      <c r="E174" s="115"/>
      <c r="F174" s="115"/>
      <c r="G174" s="88"/>
      <c r="H174" s="88"/>
      <c r="I174" s="88"/>
      <c r="O174" s="4"/>
    </row>
    <row r="175" spans="2:15" s="107" customFormat="1" x14ac:dyDescent="0.5">
      <c r="B175" s="4"/>
      <c r="C175" s="4"/>
      <c r="D175" s="4"/>
      <c r="E175" s="4"/>
      <c r="F175" s="4"/>
      <c r="G175" s="88"/>
      <c r="H175" s="88"/>
      <c r="I175" s="88"/>
    </row>
    <row r="176" spans="2:15" s="107" customFormat="1" x14ac:dyDescent="0.5">
      <c r="B176" s="18"/>
      <c r="C176" s="4"/>
      <c r="D176" s="4"/>
      <c r="E176" s="4"/>
      <c r="F176" s="4"/>
      <c r="G176" s="88"/>
      <c r="H176" s="88"/>
      <c r="I176" s="88"/>
    </row>
    <row r="177" spans="2:14" s="107" customFormat="1" x14ac:dyDescent="0.5">
      <c r="B177" s="4"/>
      <c r="C177" s="124"/>
      <c r="D177" s="124"/>
      <c r="E177" s="124"/>
      <c r="F177" s="124"/>
      <c r="G177" s="88"/>
      <c r="H177" s="88"/>
      <c r="I177" s="88"/>
    </row>
    <row r="178" spans="2:14" s="107" customFormat="1" x14ac:dyDescent="0.5">
      <c r="B178" s="4"/>
      <c r="C178" s="125"/>
      <c r="D178" s="125"/>
      <c r="E178" s="125"/>
      <c r="F178" s="125"/>
      <c r="G178" s="88"/>
      <c r="H178" s="88"/>
      <c r="I178" s="88"/>
    </row>
    <row r="179" spans="2:14" x14ac:dyDescent="0.5">
      <c r="C179" s="115"/>
      <c r="D179" s="115"/>
      <c r="E179" s="115"/>
      <c r="F179" s="115"/>
      <c r="G179" s="88"/>
      <c r="H179" s="88"/>
      <c r="I179" s="88"/>
      <c r="J179" s="107"/>
      <c r="K179" s="107"/>
      <c r="L179" s="107"/>
      <c r="M179" s="107"/>
      <c r="N179" s="107"/>
    </row>
    <row r="180" spans="2:14" x14ac:dyDescent="0.5">
      <c r="C180" s="115"/>
      <c r="D180" s="115"/>
      <c r="E180" s="115"/>
      <c r="F180" s="115"/>
      <c r="G180" s="88"/>
      <c r="H180" s="88"/>
      <c r="I180" s="88"/>
      <c r="J180" s="107"/>
      <c r="K180" s="107"/>
      <c r="L180" s="107"/>
      <c r="M180" s="107"/>
      <c r="N180" s="107"/>
    </row>
    <row r="181" spans="2:14" x14ac:dyDescent="0.5">
      <c r="C181" s="115"/>
      <c r="D181" s="115"/>
      <c r="E181" s="115"/>
      <c r="F181" s="115"/>
      <c r="G181" s="88"/>
      <c r="H181" s="88"/>
      <c r="I181" s="88"/>
      <c r="J181" s="107"/>
      <c r="K181" s="107"/>
      <c r="L181" s="107"/>
      <c r="M181" s="107"/>
      <c r="N181" s="107"/>
    </row>
    <row r="182" spans="2:14" x14ac:dyDescent="0.5">
      <c r="C182" s="115"/>
      <c r="D182" s="115"/>
      <c r="E182" s="115"/>
      <c r="F182" s="115"/>
      <c r="G182" s="88"/>
      <c r="H182" s="88"/>
      <c r="I182" s="88"/>
      <c r="J182" s="107"/>
      <c r="K182" s="107"/>
      <c r="L182" s="107"/>
      <c r="M182" s="107"/>
      <c r="N182" s="107"/>
    </row>
    <row r="183" spans="2:14" x14ac:dyDescent="0.5">
      <c r="C183" s="115"/>
      <c r="D183" s="115"/>
      <c r="E183" s="115"/>
      <c r="F183" s="115"/>
      <c r="G183" s="88"/>
      <c r="H183" s="88"/>
      <c r="I183" s="88"/>
      <c r="J183" s="107"/>
      <c r="K183" s="107"/>
      <c r="L183" s="107"/>
      <c r="M183" s="107"/>
      <c r="N183" s="107"/>
    </row>
    <row r="184" spans="2:14" x14ac:dyDescent="0.5">
      <c r="C184" s="115"/>
      <c r="D184" s="115"/>
      <c r="E184" s="115"/>
      <c r="F184" s="115"/>
      <c r="G184" s="88"/>
      <c r="H184" s="88"/>
      <c r="I184" s="88"/>
      <c r="J184" s="107"/>
      <c r="K184" s="107"/>
      <c r="L184" s="107"/>
      <c r="M184" s="107"/>
      <c r="N184" s="107"/>
    </row>
    <row r="185" spans="2:14" x14ac:dyDescent="0.5">
      <c r="C185" s="115"/>
      <c r="D185" s="115"/>
      <c r="E185" s="115"/>
      <c r="F185" s="115"/>
      <c r="G185" s="88"/>
      <c r="H185" s="88"/>
      <c r="I185" s="88"/>
      <c r="J185" s="107"/>
      <c r="K185" s="107"/>
      <c r="L185" s="107"/>
      <c r="M185" s="107"/>
      <c r="N185" s="107"/>
    </row>
    <row r="186" spans="2:14" x14ac:dyDescent="0.5">
      <c r="C186" s="115"/>
      <c r="D186" s="115"/>
      <c r="E186" s="115"/>
      <c r="F186" s="115"/>
      <c r="G186" s="88"/>
      <c r="H186" s="88"/>
      <c r="I186" s="88"/>
      <c r="J186" s="107"/>
      <c r="K186" s="107"/>
      <c r="L186" s="107"/>
      <c r="M186" s="107"/>
      <c r="N186" s="107"/>
    </row>
    <row r="187" spans="2:14" x14ac:dyDescent="0.5">
      <c r="C187" s="115"/>
      <c r="D187" s="115"/>
      <c r="E187" s="115"/>
      <c r="F187" s="115"/>
      <c r="G187" s="88"/>
      <c r="H187" s="88"/>
      <c r="I187" s="88"/>
      <c r="J187" s="107"/>
      <c r="K187" s="107"/>
      <c r="L187" s="107"/>
      <c r="M187" s="107"/>
      <c r="N187" s="107"/>
    </row>
    <row r="188" spans="2:14" x14ac:dyDescent="0.5">
      <c r="C188" s="115"/>
      <c r="D188" s="115"/>
      <c r="E188" s="115"/>
      <c r="F188" s="115"/>
      <c r="G188" s="88"/>
      <c r="H188" s="88"/>
      <c r="I188" s="88"/>
      <c r="J188" s="107"/>
      <c r="K188" s="107"/>
      <c r="L188" s="107"/>
      <c r="M188" s="107"/>
      <c r="N188" s="107"/>
    </row>
    <row r="189" spans="2:14" x14ac:dyDescent="0.5">
      <c r="C189" s="115"/>
      <c r="D189" s="115"/>
      <c r="E189" s="115"/>
      <c r="F189" s="115"/>
      <c r="G189" s="88"/>
      <c r="H189" s="88"/>
      <c r="I189" s="88"/>
      <c r="J189" s="107"/>
      <c r="K189" s="107"/>
      <c r="L189" s="107"/>
      <c r="M189" s="107"/>
      <c r="N189" s="107"/>
    </row>
    <row r="190" spans="2:14" x14ac:dyDescent="0.5">
      <c r="C190" s="115"/>
      <c r="D190" s="115"/>
      <c r="E190" s="115"/>
      <c r="F190" s="115"/>
      <c r="G190" s="88"/>
      <c r="H190" s="88"/>
      <c r="I190" s="88"/>
      <c r="J190" s="107"/>
      <c r="K190" s="107"/>
      <c r="L190" s="107"/>
      <c r="M190" s="107"/>
      <c r="N190" s="107"/>
    </row>
    <row r="191" spans="2:14" x14ac:dyDescent="0.5">
      <c r="C191" s="115"/>
      <c r="D191" s="115"/>
      <c r="E191" s="115"/>
      <c r="F191" s="115"/>
      <c r="G191" s="88"/>
      <c r="H191" s="88"/>
      <c r="I191" s="88"/>
      <c r="J191" s="107"/>
      <c r="K191" s="107"/>
      <c r="L191" s="107"/>
      <c r="M191" s="107"/>
      <c r="N191" s="107"/>
    </row>
    <row r="192" spans="2:14" x14ac:dyDescent="0.5">
      <c r="C192" s="115"/>
      <c r="D192" s="115"/>
      <c r="E192" s="115"/>
      <c r="F192" s="115"/>
      <c r="G192" s="88"/>
      <c r="H192" s="88"/>
      <c r="I192" s="88"/>
      <c r="J192" s="107"/>
      <c r="K192" s="107"/>
      <c r="L192" s="107"/>
      <c r="M192" s="107"/>
      <c r="N192" s="107"/>
    </row>
    <row r="193" spans="2:14" x14ac:dyDescent="0.5">
      <c r="C193" s="115"/>
      <c r="D193" s="115"/>
      <c r="E193" s="115"/>
      <c r="F193" s="115"/>
      <c r="G193" s="88"/>
      <c r="H193" s="88"/>
      <c r="I193" s="88"/>
      <c r="J193" s="107"/>
      <c r="K193" s="107"/>
      <c r="L193" s="107"/>
      <c r="M193" s="107"/>
      <c r="N193" s="107"/>
    </row>
    <row r="194" spans="2:14" x14ac:dyDescent="0.5">
      <c r="C194" s="115"/>
      <c r="D194" s="115"/>
      <c r="E194" s="115"/>
      <c r="F194" s="115"/>
      <c r="G194" s="88"/>
      <c r="H194" s="88"/>
      <c r="I194" s="88"/>
      <c r="J194" s="107"/>
      <c r="K194" s="107"/>
      <c r="L194" s="107"/>
      <c r="M194" s="107"/>
      <c r="N194" s="107"/>
    </row>
    <row r="195" spans="2:14" x14ac:dyDescent="0.5">
      <c r="C195" s="115"/>
      <c r="D195" s="115"/>
      <c r="E195" s="115"/>
      <c r="F195" s="115"/>
      <c r="G195" s="88"/>
      <c r="H195" s="88"/>
      <c r="I195" s="88"/>
      <c r="J195" s="107"/>
      <c r="K195" s="107"/>
      <c r="L195" s="107"/>
      <c r="M195" s="107"/>
      <c r="N195" s="107"/>
    </row>
    <row r="196" spans="2:14" x14ac:dyDescent="0.5">
      <c r="C196" s="115"/>
      <c r="D196" s="115"/>
      <c r="E196" s="115"/>
      <c r="F196" s="115"/>
      <c r="G196" s="88"/>
      <c r="H196" s="88"/>
      <c r="I196" s="88"/>
      <c r="J196" s="107"/>
      <c r="K196" s="107"/>
      <c r="L196" s="107"/>
      <c r="M196" s="107"/>
      <c r="N196" s="107"/>
    </row>
    <row r="197" spans="2:14" x14ac:dyDescent="0.5">
      <c r="C197" s="115"/>
      <c r="D197" s="115"/>
      <c r="E197" s="115"/>
      <c r="F197" s="115"/>
      <c r="G197" s="88"/>
      <c r="H197" s="88"/>
      <c r="I197" s="88"/>
      <c r="J197" s="107"/>
      <c r="K197" s="107"/>
      <c r="L197" s="107"/>
      <c r="M197" s="107"/>
      <c r="N197" s="107"/>
    </row>
    <row r="198" spans="2:14" x14ac:dyDescent="0.5">
      <c r="C198" s="115"/>
      <c r="D198" s="115"/>
      <c r="E198" s="115"/>
      <c r="F198" s="115"/>
      <c r="G198" s="88"/>
      <c r="H198" s="88"/>
      <c r="I198" s="88"/>
      <c r="J198" s="107"/>
      <c r="K198" s="107"/>
      <c r="L198" s="107"/>
      <c r="M198" s="107"/>
      <c r="N198" s="107"/>
    </row>
    <row r="199" spans="2:14" x14ac:dyDescent="0.5">
      <c r="C199" s="115"/>
      <c r="D199" s="115"/>
      <c r="E199" s="115"/>
      <c r="F199" s="115"/>
      <c r="G199" s="88"/>
      <c r="H199" s="88"/>
      <c r="I199" s="88"/>
      <c r="J199" s="107"/>
      <c r="K199" s="107"/>
      <c r="L199" s="107"/>
      <c r="M199" s="107"/>
      <c r="N199" s="107"/>
    </row>
    <row r="200" spans="2:14" x14ac:dyDescent="0.5">
      <c r="C200" s="115"/>
      <c r="D200" s="115"/>
      <c r="E200" s="115"/>
      <c r="F200" s="115"/>
      <c r="G200" s="88"/>
      <c r="H200" s="88"/>
      <c r="I200" s="88"/>
      <c r="J200" s="107"/>
      <c r="K200" s="107"/>
      <c r="L200" s="107"/>
      <c r="M200" s="107"/>
      <c r="N200" s="107"/>
    </row>
    <row r="201" spans="2:14" x14ac:dyDescent="0.5">
      <c r="C201" s="115"/>
      <c r="D201" s="115"/>
      <c r="E201" s="115"/>
      <c r="F201" s="115"/>
      <c r="G201" s="88"/>
      <c r="H201" s="88"/>
      <c r="I201" s="88"/>
      <c r="J201" s="107"/>
      <c r="K201" s="107"/>
      <c r="L201" s="107"/>
      <c r="M201" s="107"/>
      <c r="N201" s="107"/>
    </row>
    <row r="202" spans="2:14" x14ac:dyDescent="0.5">
      <c r="C202" s="115"/>
      <c r="D202" s="115"/>
      <c r="E202" s="115"/>
      <c r="F202" s="115"/>
      <c r="G202" s="88"/>
      <c r="H202" s="88"/>
      <c r="I202" s="88"/>
      <c r="J202" s="107"/>
      <c r="K202" s="107"/>
      <c r="L202" s="107"/>
      <c r="M202" s="107"/>
      <c r="N202" s="107"/>
    </row>
    <row r="203" spans="2:14" x14ac:dyDescent="0.5">
      <c r="C203" s="115"/>
      <c r="D203" s="115"/>
      <c r="E203" s="115"/>
      <c r="F203" s="115"/>
      <c r="G203" s="88"/>
      <c r="H203" s="88"/>
      <c r="I203" s="88"/>
      <c r="J203" s="107"/>
      <c r="K203" s="107"/>
      <c r="L203" s="107"/>
      <c r="M203" s="107"/>
      <c r="N203" s="107"/>
    </row>
    <row r="204" spans="2:14" x14ac:dyDescent="0.5">
      <c r="G204" s="88"/>
      <c r="H204" s="88"/>
      <c r="I204" s="88"/>
      <c r="J204" s="107"/>
      <c r="K204" s="107"/>
      <c r="L204" s="107"/>
      <c r="M204" s="107"/>
      <c r="N204" s="107"/>
    </row>
    <row r="205" spans="2:14" x14ac:dyDescent="0.5">
      <c r="B205" s="18"/>
      <c r="G205" s="88"/>
      <c r="H205" s="88"/>
      <c r="I205" s="88"/>
      <c r="J205" s="107"/>
      <c r="K205" s="107"/>
      <c r="L205" s="107"/>
      <c r="M205" s="107"/>
      <c r="N205" s="107"/>
    </row>
    <row r="206" spans="2:14" x14ac:dyDescent="0.5">
      <c r="G206" s="88"/>
      <c r="H206" s="88"/>
      <c r="I206" s="88"/>
      <c r="J206" s="107"/>
      <c r="K206" s="107"/>
      <c r="L206" s="107"/>
      <c r="M206" s="107"/>
      <c r="N206" s="107"/>
    </row>
    <row r="207" spans="2:14" x14ac:dyDescent="0.5">
      <c r="C207" s="124"/>
      <c r="D207" s="124"/>
      <c r="E207" s="124"/>
      <c r="F207" s="124"/>
      <c r="G207" s="88"/>
      <c r="H207" s="88"/>
      <c r="I207" s="88"/>
      <c r="J207" s="107"/>
      <c r="K207" s="107"/>
      <c r="L207" s="107"/>
      <c r="M207" s="107"/>
      <c r="N207" s="107"/>
    </row>
    <row r="208" spans="2:14" x14ac:dyDescent="0.5">
      <c r="C208" s="125"/>
      <c r="D208" s="125"/>
      <c r="E208" s="125"/>
      <c r="F208" s="125"/>
      <c r="G208" s="88"/>
      <c r="H208" s="88"/>
      <c r="I208" s="88"/>
      <c r="J208" s="107"/>
      <c r="K208" s="107"/>
      <c r="L208" s="107"/>
      <c r="M208" s="107"/>
      <c r="N208" s="107"/>
    </row>
    <row r="209" spans="3:14" x14ac:dyDescent="0.5">
      <c r="C209" s="125"/>
      <c r="D209" s="125"/>
      <c r="E209" s="125"/>
      <c r="F209" s="125"/>
      <c r="G209" s="88"/>
      <c r="H209" s="88"/>
      <c r="I209" s="88"/>
      <c r="J209" s="107"/>
      <c r="K209" s="107"/>
      <c r="L209" s="107"/>
      <c r="M209" s="107"/>
      <c r="N209" s="107"/>
    </row>
    <row r="210" spans="3:14" x14ac:dyDescent="0.5">
      <c r="C210" s="125"/>
      <c r="D210" s="125"/>
      <c r="E210" s="125"/>
      <c r="F210" s="125"/>
      <c r="G210" s="88"/>
      <c r="H210" s="88"/>
      <c r="I210" s="88"/>
      <c r="J210" s="107"/>
      <c r="K210" s="107"/>
      <c r="L210" s="107"/>
      <c r="M210" s="107"/>
      <c r="N210" s="107"/>
    </row>
    <row r="211" spans="3:14" x14ac:dyDescent="0.5">
      <c r="C211" s="125"/>
      <c r="D211" s="125"/>
      <c r="E211" s="125"/>
      <c r="F211" s="125"/>
      <c r="J211" s="107"/>
      <c r="K211" s="107"/>
      <c r="L211" s="107"/>
      <c r="M211" s="107"/>
      <c r="N211" s="107"/>
    </row>
    <row r="212" spans="3:14" x14ac:dyDescent="0.5">
      <c r="C212" s="125"/>
      <c r="D212" s="125"/>
      <c r="E212" s="125"/>
      <c r="F212" s="125"/>
      <c r="J212" s="107"/>
      <c r="K212" s="107"/>
      <c r="L212" s="107"/>
      <c r="M212" s="107"/>
      <c r="N212" s="107"/>
    </row>
    <row r="213" spans="3:14" x14ac:dyDescent="0.5">
      <c r="C213" s="125"/>
      <c r="D213" s="125"/>
      <c r="E213" s="125"/>
      <c r="F213" s="125"/>
      <c r="J213" s="107"/>
      <c r="K213" s="107"/>
      <c r="L213" s="107"/>
      <c r="M213" s="107"/>
      <c r="N213" s="107"/>
    </row>
    <row r="214" spans="3:14" x14ac:dyDescent="0.5">
      <c r="C214" s="125"/>
      <c r="D214" s="125"/>
      <c r="E214" s="125"/>
      <c r="F214" s="125"/>
      <c r="J214" s="107"/>
      <c r="K214" s="107"/>
      <c r="L214" s="107"/>
      <c r="M214" s="107"/>
      <c r="N214" s="107"/>
    </row>
    <row r="215" spans="3:14" x14ac:dyDescent="0.5">
      <c r="C215" s="125"/>
      <c r="D215" s="125"/>
      <c r="E215" s="125"/>
      <c r="F215" s="125"/>
      <c r="J215" s="107"/>
      <c r="K215" s="107"/>
      <c r="L215" s="107"/>
      <c r="M215" s="107"/>
      <c r="N215" s="107"/>
    </row>
    <row r="216" spans="3:14" x14ac:dyDescent="0.5">
      <c r="C216" s="125"/>
      <c r="D216" s="125"/>
      <c r="E216" s="125"/>
      <c r="F216" s="125"/>
      <c r="J216" s="107"/>
      <c r="K216" s="107"/>
      <c r="L216" s="107"/>
      <c r="M216" s="107"/>
      <c r="N216" s="107"/>
    </row>
    <row r="217" spans="3:14" x14ac:dyDescent="0.5">
      <c r="C217" s="125"/>
      <c r="D217" s="125"/>
      <c r="E217" s="125"/>
      <c r="F217" s="125"/>
      <c r="J217" s="107"/>
      <c r="K217" s="107"/>
      <c r="L217" s="107"/>
      <c r="M217" s="107"/>
      <c r="N217" s="107"/>
    </row>
    <row r="218" spans="3:14" x14ac:dyDescent="0.5">
      <c r="C218" s="125"/>
      <c r="D218" s="125"/>
      <c r="E218" s="125"/>
      <c r="F218" s="125"/>
      <c r="J218" s="107"/>
      <c r="K218" s="107"/>
      <c r="L218" s="107"/>
      <c r="M218" s="107"/>
      <c r="N218" s="107"/>
    </row>
    <row r="219" spans="3:14" x14ac:dyDescent="0.5">
      <c r="C219" s="125"/>
      <c r="D219" s="125"/>
      <c r="E219" s="125"/>
      <c r="F219" s="125"/>
      <c r="J219" s="107"/>
      <c r="K219" s="107"/>
      <c r="L219" s="107"/>
      <c r="M219" s="107"/>
      <c r="N219" s="107"/>
    </row>
    <row r="220" spans="3:14" x14ac:dyDescent="0.5">
      <c r="C220" s="125"/>
      <c r="D220" s="125"/>
      <c r="E220" s="125"/>
      <c r="F220" s="125"/>
      <c r="J220" s="107"/>
      <c r="K220" s="107"/>
      <c r="L220" s="107"/>
      <c r="M220" s="107"/>
      <c r="N220" s="107"/>
    </row>
    <row r="221" spans="3:14" x14ac:dyDescent="0.5">
      <c r="C221" s="125"/>
      <c r="D221" s="125"/>
      <c r="E221" s="125"/>
      <c r="F221" s="125"/>
      <c r="J221" s="107"/>
      <c r="K221" s="107"/>
      <c r="L221" s="107"/>
      <c r="M221" s="107"/>
      <c r="N221" s="107"/>
    </row>
    <row r="222" spans="3:14" x14ac:dyDescent="0.5">
      <c r="C222" s="125"/>
      <c r="D222" s="125"/>
      <c r="E222" s="125"/>
      <c r="F222" s="125"/>
      <c r="J222" s="107"/>
      <c r="K222" s="107"/>
      <c r="L222" s="107"/>
      <c r="M222" s="107"/>
      <c r="N222" s="107"/>
    </row>
    <row r="223" spans="3:14" x14ac:dyDescent="0.5">
      <c r="C223" s="125"/>
      <c r="D223" s="125"/>
      <c r="E223" s="125"/>
      <c r="F223" s="125"/>
      <c r="J223" s="107"/>
      <c r="K223" s="107"/>
      <c r="L223" s="107"/>
      <c r="M223" s="107"/>
      <c r="N223" s="107"/>
    </row>
    <row r="224" spans="3:14" x14ac:dyDescent="0.5">
      <c r="C224" s="125"/>
      <c r="D224" s="125"/>
      <c r="E224" s="125"/>
      <c r="F224" s="125"/>
      <c r="J224" s="107"/>
      <c r="K224" s="107"/>
      <c r="L224" s="107"/>
      <c r="M224" s="107"/>
      <c r="N224" s="107"/>
    </row>
    <row r="225" spans="3:14" x14ac:dyDescent="0.5">
      <c r="C225" s="125"/>
      <c r="D225" s="125"/>
      <c r="E225" s="125"/>
      <c r="F225" s="125"/>
      <c r="J225" s="107"/>
      <c r="K225" s="107"/>
      <c r="L225" s="107"/>
      <c r="M225" s="107"/>
      <c r="N225" s="107"/>
    </row>
    <row r="226" spans="3:14" x14ac:dyDescent="0.5">
      <c r="C226" s="125"/>
      <c r="D226" s="125"/>
      <c r="E226" s="125"/>
      <c r="F226" s="125"/>
      <c r="J226" s="107"/>
      <c r="K226" s="107"/>
      <c r="L226" s="107"/>
      <c r="M226" s="107"/>
      <c r="N226" s="107"/>
    </row>
    <row r="227" spans="3:14" x14ac:dyDescent="0.5">
      <c r="C227" s="125"/>
      <c r="D227" s="125"/>
      <c r="E227" s="125"/>
      <c r="F227" s="125"/>
    </row>
    <row r="228" spans="3:14" x14ac:dyDescent="0.5">
      <c r="C228" s="125"/>
      <c r="D228" s="125"/>
      <c r="E228" s="125"/>
      <c r="F228" s="125"/>
    </row>
    <row r="229" spans="3:14" x14ac:dyDescent="0.5">
      <c r="C229" s="125"/>
      <c r="D229" s="125"/>
      <c r="E229" s="125"/>
      <c r="F229" s="125"/>
    </row>
    <row r="230" spans="3:14" x14ac:dyDescent="0.5">
      <c r="C230" s="125"/>
      <c r="D230" s="125"/>
      <c r="E230" s="125"/>
      <c r="F230" s="125"/>
    </row>
    <row r="231" spans="3:14" x14ac:dyDescent="0.5">
      <c r="C231" s="125"/>
      <c r="D231" s="125"/>
      <c r="E231" s="125"/>
      <c r="F231" s="125"/>
    </row>
    <row r="232" spans="3:14" x14ac:dyDescent="0.5">
      <c r="C232" s="125"/>
      <c r="D232" s="125"/>
      <c r="E232" s="125"/>
      <c r="F232" s="125"/>
    </row>
    <row r="233" spans="3:14" x14ac:dyDescent="0.5">
      <c r="C233" s="125"/>
      <c r="D233" s="125"/>
      <c r="E233" s="125"/>
      <c r="F233" s="125"/>
    </row>
  </sheetData>
  <mergeCells count="1">
    <mergeCell ref="B30:I31"/>
  </mergeCells>
  <conditionalFormatting sqref="C33">
    <cfRule type="expression" dxfId="0" priority="1">
      <formula>"C33=0"</formula>
    </cfRule>
  </conditionalFormatting>
  <hyperlinks>
    <hyperlink ref="B28" r:id="rId1" xr:uid="{00000000-0004-0000-0000-000000000000}"/>
  </hyperlinks>
  <pageMargins left="0.37" right="0" top="0.26" bottom="0" header="0.16" footer="0.17"/>
  <pageSetup paperSize="9" scale="48" orientation="portrait" horizontalDpi="4294967292" verticalDpi="180" r:id="rId2"/>
  <headerFooter alignWithMargins="0">
    <oddHeader>&amp;R&amp;8&amp;F &amp;D T4 Bd/Beratung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85186" r:id="rId5" name="Button 2">
              <controlPr defaultSize="0" print="0" autoFill="0" autoPict="0" macro="[0]!Wyniki_2">
                <anchor moveWithCells="1" sizeWithCells="1">
                  <from>
                    <xdr:col>0</xdr:col>
                    <xdr:colOff>381000</xdr:colOff>
                    <xdr:row>104</xdr:row>
                    <xdr:rowOff>106680</xdr:rowOff>
                  </from>
                  <to>
                    <xdr:col>1</xdr:col>
                    <xdr:colOff>1455420</xdr:colOff>
                    <xdr:row>110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362" r:id="rId6" name="Button 178">
              <controlPr defaultSize="0" print="0" autoFill="0" autoPict="0" macro="[0]!Przycisk178_Kliknięcie">
                <anchor moveWithCells="1" sizeWithCells="1">
                  <from>
                    <xdr:col>1</xdr:col>
                    <xdr:colOff>7620</xdr:colOff>
                    <xdr:row>31</xdr:row>
                    <xdr:rowOff>182880</xdr:rowOff>
                  </from>
                  <to>
                    <xdr:col>1</xdr:col>
                    <xdr:colOff>960120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363" r:id="rId7" name="Button 179">
              <controlPr defaultSize="0" print="0" autoFill="0" autoPict="0" macro="[0]!Przycisk178_Kliknięcie">
                <anchor moveWithCells="1" sizeWithCells="1">
                  <from>
                    <xdr:col>1</xdr:col>
                    <xdr:colOff>7620</xdr:colOff>
                    <xdr:row>1</xdr:row>
                    <xdr:rowOff>91440</xdr:rowOff>
                  </from>
                  <to>
                    <xdr:col>1</xdr:col>
                    <xdr:colOff>982980</xdr:colOff>
                    <xdr:row>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387" r:id="rId8" name="Button 203">
              <controlPr defaultSize="0" print="0" autoFill="0" autoPict="0" macro="[0]!Wyniki_2">
                <anchor moveWithCells="1" sizeWithCells="1">
                  <from>
                    <xdr:col>1</xdr:col>
                    <xdr:colOff>15240</xdr:colOff>
                    <xdr:row>33</xdr:row>
                    <xdr:rowOff>68580</xdr:rowOff>
                  </from>
                  <to>
                    <xdr:col>1</xdr:col>
                    <xdr:colOff>944880</xdr:colOff>
                    <xdr:row>35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542" r:id="rId9" name="Button 358">
              <controlPr defaultSize="0" print="0" autoFill="0" autoPict="0" macro="[0]!Start2">
                <anchor moveWithCells="1" sizeWithCells="1">
                  <from>
                    <xdr:col>1</xdr:col>
                    <xdr:colOff>990600</xdr:colOff>
                    <xdr:row>31</xdr:row>
                    <xdr:rowOff>175260</xdr:rowOff>
                  </from>
                  <to>
                    <xdr:col>1</xdr:col>
                    <xdr:colOff>1981200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543" r:id="rId10" name="Button 359">
              <controlPr defaultSize="0" print="0" autoFill="0" autoPict="0" macro="[0]!Przycisk178_Kliknięcie">
                <anchor moveWithCells="1" sizeWithCells="1">
                  <from>
                    <xdr:col>1</xdr:col>
                    <xdr:colOff>2011680</xdr:colOff>
                    <xdr:row>31</xdr:row>
                    <xdr:rowOff>167640</xdr:rowOff>
                  </from>
                  <to>
                    <xdr:col>1</xdr:col>
                    <xdr:colOff>2987040</xdr:colOff>
                    <xdr:row>33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544" r:id="rId11" name="Button 360">
              <controlPr defaultSize="0" print="0" autoFill="0" autoPict="0" macro="[0]!Przycisk86_Kliknięcie">
                <anchor moveWithCells="1" sizeWithCells="1">
                  <from>
                    <xdr:col>1</xdr:col>
                    <xdr:colOff>3040380</xdr:colOff>
                    <xdr:row>31</xdr:row>
                    <xdr:rowOff>167640</xdr:rowOff>
                  </from>
                  <to>
                    <xdr:col>2</xdr:col>
                    <xdr:colOff>487680</xdr:colOff>
                    <xdr:row>33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545" r:id="rId12" name="Button 361">
              <controlPr defaultSize="0" print="0" autoFill="0" autoPict="0" macro="[0]!Przycisk177_Kliknięcie">
                <anchor moveWithCells="1" sizeWithCells="1">
                  <from>
                    <xdr:col>2</xdr:col>
                    <xdr:colOff>518160</xdr:colOff>
                    <xdr:row>31</xdr:row>
                    <xdr:rowOff>152400</xdr:rowOff>
                  </from>
                  <to>
                    <xdr:col>3</xdr:col>
                    <xdr:colOff>182880</xdr:colOff>
                    <xdr:row>33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8">
    <pageSetUpPr fitToPage="1"/>
  </sheetPr>
  <dimension ref="A1:M23"/>
  <sheetViews>
    <sheetView showGridLines="0" showZeros="0" zoomScale="80" zoomScaleNormal="80" workbookViewId="0">
      <selection activeCell="K16" sqref="K16"/>
    </sheetView>
  </sheetViews>
  <sheetFormatPr defaultColWidth="11.44140625" defaultRowHeight="12.9" x14ac:dyDescent="0.5"/>
  <cols>
    <col min="1" max="1" width="5.88671875" style="4" customWidth="1"/>
    <col min="2" max="2" width="47.88671875" style="4" customWidth="1"/>
    <col min="3" max="3" width="19.44140625" style="4" customWidth="1"/>
    <col min="4" max="4" width="19.21875" style="4" customWidth="1"/>
    <col min="5" max="11" width="15.109375" style="4" customWidth="1"/>
    <col min="12" max="12" width="16.6640625" style="4" customWidth="1"/>
    <col min="13" max="16384" width="11.44140625" style="4"/>
  </cols>
  <sheetData>
    <row r="1" spans="1:13" ht="19.5" thickBot="1" x14ac:dyDescent="0.75">
      <c r="B1" s="189" t="s">
        <v>169</v>
      </c>
      <c r="C1" s="189"/>
      <c r="D1" s="189"/>
      <c r="I1" s="266"/>
    </row>
    <row r="2" spans="1:13" ht="13.2" thickTop="1" x14ac:dyDescent="0.5">
      <c r="E2" s="192"/>
      <c r="I2" s="193" t="s">
        <v>217</v>
      </c>
    </row>
    <row r="3" spans="1:13" x14ac:dyDescent="0.5">
      <c r="E3" s="267"/>
      <c r="F3" s="268"/>
      <c r="G3" s="266"/>
      <c r="H3" s="266"/>
      <c r="I3" s="273">
        <f>ROUND('Dane budynku 1'!C28,1)</f>
        <v>3.3</v>
      </c>
      <c r="J3" s="266"/>
      <c r="K3" s="266"/>
    </row>
    <row r="4" spans="1:13" x14ac:dyDescent="0.5">
      <c r="E4" s="269" t="s">
        <v>146</v>
      </c>
      <c r="F4" s="193" t="s">
        <v>193</v>
      </c>
      <c r="G4" s="269" t="s">
        <v>195</v>
      </c>
      <c r="H4" s="269" t="s">
        <v>147</v>
      </c>
      <c r="I4" s="193" t="s">
        <v>218</v>
      </c>
      <c r="J4" s="269" t="s">
        <v>214</v>
      </c>
      <c r="K4" s="269" t="s">
        <v>215</v>
      </c>
      <c r="L4" s="190"/>
      <c r="M4" s="190"/>
    </row>
    <row r="5" spans="1:13" ht="18" customHeight="1" x14ac:dyDescent="0.7">
      <c r="B5" s="6"/>
      <c r="E5" s="270">
        <f>ROUND(E18,2)*100</f>
        <v>87</v>
      </c>
      <c r="F5" s="270">
        <f>ROUND(F18,2)*100</f>
        <v>124</v>
      </c>
      <c r="G5" s="270">
        <f>ROUND(G18,2)*100</f>
        <v>83</v>
      </c>
      <c r="H5" s="270">
        <f>ROUND(H18,2)*100</f>
        <v>94</v>
      </c>
      <c r="I5" s="271">
        <f>ROUND(I18,2)</f>
        <v>3.45</v>
      </c>
      <c r="J5" s="270">
        <f>ROUND(J18,2)</f>
        <v>3.45</v>
      </c>
      <c r="K5" s="270">
        <f>ROUND(K18,2)</f>
        <v>3.75</v>
      </c>
      <c r="L5" s="190"/>
      <c r="M5" s="190"/>
    </row>
    <row r="6" spans="1:13" x14ac:dyDescent="0.5">
      <c r="B6" s="5"/>
      <c r="E6" s="270" t="s">
        <v>145</v>
      </c>
      <c r="F6" s="272" t="s">
        <v>145</v>
      </c>
      <c r="G6" s="272" t="s">
        <v>143</v>
      </c>
      <c r="H6" s="272" t="s">
        <v>145</v>
      </c>
      <c r="I6" s="272"/>
      <c r="J6" s="272"/>
      <c r="K6" s="272"/>
      <c r="L6" s="190"/>
      <c r="M6" s="190"/>
    </row>
    <row r="7" spans="1:13" x14ac:dyDescent="0.5">
      <c r="E7" s="269" t="s">
        <v>154</v>
      </c>
      <c r="F7" s="191" t="s">
        <v>144</v>
      </c>
      <c r="G7" s="191" t="s">
        <v>141</v>
      </c>
      <c r="H7" s="191" t="s">
        <v>148</v>
      </c>
      <c r="I7" s="191" t="s">
        <v>149</v>
      </c>
      <c r="J7" s="191" t="s">
        <v>150</v>
      </c>
      <c r="K7" s="191" t="s">
        <v>151</v>
      </c>
      <c r="L7" s="190"/>
      <c r="M7" s="190"/>
    </row>
    <row r="8" spans="1:13" ht="14.4" x14ac:dyDescent="0.5">
      <c r="A8" s="7"/>
      <c r="B8" s="237" t="s">
        <v>178</v>
      </c>
      <c r="C8" s="175" t="s">
        <v>115</v>
      </c>
      <c r="E8" s="193" t="str">
        <f>CONCATENATE(E4,E5,E6,E7)</f>
        <v>Kocioł gazowy, kondensacyjny o spr. 87%    Wariant A</v>
      </c>
      <c r="F8" s="193" t="str">
        <f t="shared" ref="F8:K8" si="0">CONCATENATE(F4,F5,F6,F7)</f>
        <v>Gazowa pompa ciepła z wsp.  SPER 124%    Wariant B</v>
      </c>
      <c r="G8" s="193" t="str">
        <f t="shared" si="0"/>
        <v>Kocioł na pelet o spr. 83%  Wariant C</v>
      </c>
      <c r="H8" s="193" t="str">
        <f t="shared" si="0"/>
        <v>Kocioł elektryczny o spr. 94%    Wariant D</v>
      </c>
      <c r="I8" s="193" t="str">
        <f>CONCATENATE(I2,I3,I4,I5,I6,I7)</f>
        <v>PV 3,3 kWp + Pompa c. P/W o SCOP=3,45  Wariant E</v>
      </c>
      <c r="J8" s="193" t="str">
        <f t="shared" si="0"/>
        <v>Powietrzna pompa ciepła o SCOP = 3,45  Wariant F</v>
      </c>
      <c r="K8" s="193" t="str">
        <f t="shared" si="0"/>
        <v>Gruntowa pompa ciepła o SCOP = 3,75  Wariant G</v>
      </c>
      <c r="L8" s="190"/>
      <c r="M8" s="190"/>
    </row>
    <row r="9" spans="1:13" ht="14.4" x14ac:dyDescent="0.5">
      <c r="A9" s="7"/>
      <c r="B9" s="238" t="s">
        <v>67</v>
      </c>
      <c r="C9" s="236" t="s">
        <v>81</v>
      </c>
      <c r="E9" s="193"/>
      <c r="F9" s="249"/>
      <c r="G9" s="193"/>
      <c r="H9" s="193"/>
      <c r="I9" s="249"/>
      <c r="J9" s="193"/>
      <c r="K9" s="193"/>
      <c r="L9" s="126"/>
      <c r="M9" s="190"/>
    </row>
    <row r="10" spans="1:13" x14ac:dyDescent="0.5">
      <c r="E10" s="193"/>
      <c r="F10" s="18"/>
      <c r="G10" s="18"/>
      <c r="H10" s="191"/>
      <c r="I10" s="18"/>
      <c r="J10" s="191"/>
      <c r="K10" s="191"/>
    </row>
    <row r="11" spans="1:13" ht="13.8" customHeight="1" x14ac:dyDescent="0.5">
      <c r="B11" s="286" t="s">
        <v>166</v>
      </c>
      <c r="C11" s="287"/>
      <c r="D11" s="288"/>
      <c r="E11" s="285" t="str">
        <f t="shared" ref="E11:K11" si="1">E8</f>
        <v>Kocioł gazowy, kondensacyjny o spr. 87%    Wariant A</v>
      </c>
      <c r="F11" s="285" t="str">
        <f t="shared" si="1"/>
        <v>Gazowa pompa ciepła z wsp.  SPER 124%    Wariant B</v>
      </c>
      <c r="G11" s="285" t="str">
        <f t="shared" si="1"/>
        <v>Kocioł na pelet o spr. 83%  Wariant C</v>
      </c>
      <c r="H11" s="285" t="str">
        <f t="shared" si="1"/>
        <v>Kocioł elektryczny o spr. 94%    Wariant D</v>
      </c>
      <c r="I11" s="285" t="str">
        <f t="shared" si="1"/>
        <v>PV 3,3 kWp + Pompa c. P/W o SCOP=3,45  Wariant E</v>
      </c>
      <c r="J11" s="285" t="str">
        <f t="shared" si="1"/>
        <v>Powietrzna pompa ciepła o SCOP = 3,45  Wariant F</v>
      </c>
      <c r="K11" s="285" t="str">
        <f t="shared" si="1"/>
        <v>Gruntowa pompa ciepła o SCOP = 3,75  Wariant G</v>
      </c>
    </row>
    <row r="12" spans="1:13" x14ac:dyDescent="0.5">
      <c r="B12" s="289"/>
      <c r="C12" s="290"/>
      <c r="D12" s="291"/>
      <c r="E12" s="285"/>
      <c r="F12" s="285"/>
      <c r="G12" s="285"/>
      <c r="H12" s="285"/>
      <c r="I12" s="285"/>
      <c r="J12" s="285"/>
      <c r="K12" s="285"/>
      <c r="M12" s="128"/>
    </row>
    <row r="13" spans="1:13" ht="27" customHeight="1" x14ac:dyDescent="0.5">
      <c r="B13" s="292"/>
      <c r="C13" s="293"/>
      <c r="D13" s="294"/>
      <c r="E13" s="285"/>
      <c r="F13" s="285"/>
      <c r="G13" s="285"/>
      <c r="H13" s="285"/>
      <c r="I13" s="285"/>
      <c r="J13" s="285"/>
      <c r="K13" s="285"/>
    </row>
    <row r="14" spans="1:13" ht="9.75" customHeight="1" x14ac:dyDescent="0.5">
      <c r="B14" s="25"/>
      <c r="E14" s="27"/>
      <c r="F14" s="27"/>
      <c r="G14" s="27"/>
      <c r="H14" s="27"/>
      <c r="I14" s="27"/>
      <c r="J14" s="27"/>
      <c r="K14" s="27"/>
    </row>
    <row r="15" spans="1:13" ht="17.399999999999999" customHeight="1" x14ac:dyDescent="0.6">
      <c r="B15" s="185" t="s">
        <v>211</v>
      </c>
      <c r="C15" s="59"/>
      <c r="D15" s="186"/>
      <c r="E15" s="202">
        <v>0.92</v>
      </c>
      <c r="F15" s="202">
        <v>1.3</v>
      </c>
      <c r="G15" s="202">
        <v>0.85</v>
      </c>
      <c r="H15" s="202">
        <v>0.97</v>
      </c>
      <c r="I15" s="202">
        <v>1.8</v>
      </c>
      <c r="J15" s="202">
        <v>1.8</v>
      </c>
      <c r="K15" s="202">
        <v>2.1</v>
      </c>
    </row>
    <row r="16" spans="1:13" ht="15" customHeight="1" x14ac:dyDescent="0.6">
      <c r="B16" s="185" t="s">
        <v>212</v>
      </c>
      <c r="C16" s="59"/>
      <c r="D16" s="186"/>
      <c r="E16" s="202">
        <v>0.8</v>
      </c>
      <c r="F16" s="202">
        <v>1.1499999999999999</v>
      </c>
      <c r="G16" s="202">
        <v>0.8</v>
      </c>
      <c r="H16" s="202">
        <v>0.9</v>
      </c>
      <c r="I16" s="202">
        <v>1.05</v>
      </c>
      <c r="J16" s="202">
        <v>1.05</v>
      </c>
      <c r="K16" s="202">
        <v>1.08</v>
      </c>
    </row>
    <row r="17" spans="2:11" ht="15" customHeight="1" x14ac:dyDescent="0.6">
      <c r="B17" s="185" t="s">
        <v>187</v>
      </c>
      <c r="C17" s="59"/>
      <c r="D17" s="186"/>
      <c r="E17" s="245">
        <v>3.5</v>
      </c>
      <c r="F17" s="245">
        <v>0.7</v>
      </c>
      <c r="G17" s="245">
        <v>3.5</v>
      </c>
      <c r="H17" s="245">
        <v>3.5</v>
      </c>
      <c r="I17" s="245">
        <v>3.5</v>
      </c>
      <c r="J17" s="245">
        <v>3.5</v>
      </c>
      <c r="K17" s="245">
        <v>15</v>
      </c>
    </row>
    <row r="18" spans="2:11" ht="15" customHeight="1" x14ac:dyDescent="0.6">
      <c r="B18" s="58" t="s">
        <v>219</v>
      </c>
      <c r="C18" s="59"/>
      <c r="D18" s="186"/>
      <c r="E18" s="198">
        <f>E15*'Dane budynku 1'!$F$17+'Dane sprawność 2'!E16*'Dane budynku 1'!$F$18</f>
        <v>0.86908386382507619</v>
      </c>
      <c r="F18" s="198">
        <f>F15*'Dane budynku 1'!$F$17+'Dane sprawność 2'!F16*'Dane budynku 1'!$F$18</f>
        <v>1.2363548297813451</v>
      </c>
      <c r="G18" s="198">
        <f>G15*'Dane budynku 1'!$F$17+'Dane sprawność 2'!G16*'Dane budynku 1'!$F$18</f>
        <v>0.82878494326044838</v>
      </c>
      <c r="H18" s="198">
        <f>H15*'Dane budynku 1'!$F$17+'Dane sprawność 2'!H16*'Dane budynku 1'!$F$18</f>
        <v>0.94029892056462772</v>
      </c>
      <c r="I18" s="199">
        <f>1/('Dane budynku 1'!$F$17/I15+'Dane budynku 1'!$F$18/I16)*2.5</f>
        <v>3.4533772302463888</v>
      </c>
      <c r="J18" s="199">
        <f>1/('Dane budynku 1'!$F$17/J15+'Dane budynku 1'!$F$18/J16)*2.5</f>
        <v>3.4533772302463888</v>
      </c>
      <c r="K18" s="199">
        <f>1/('Dane budynku 1'!$F$17/K15+'Dane budynku 1'!$F$18/K16)*2.5</f>
        <v>3.7480487403260336</v>
      </c>
    </row>
    <row r="19" spans="2:11" ht="8.4" customHeight="1" x14ac:dyDescent="0.6">
      <c r="B19" s="184"/>
      <c r="C19" s="29"/>
      <c r="D19" s="29"/>
      <c r="E19" s="27"/>
      <c r="F19" s="27"/>
      <c r="G19" s="27"/>
      <c r="H19" s="27"/>
      <c r="I19" s="27"/>
      <c r="J19" s="27"/>
      <c r="K19" s="27"/>
    </row>
    <row r="20" spans="2:11" ht="15" customHeight="1" x14ac:dyDescent="0.6">
      <c r="B20" s="185" t="s">
        <v>174</v>
      </c>
      <c r="C20" s="59"/>
      <c r="D20" s="186"/>
      <c r="E20" s="203">
        <v>1.4999999999999999E-2</v>
      </c>
      <c r="F20" s="203">
        <v>1.4999999999999999E-2</v>
      </c>
      <c r="G20" s="203">
        <v>0.02</v>
      </c>
      <c r="H20" s="203">
        <v>1.4999999999999999E-2</v>
      </c>
      <c r="I20" s="203">
        <v>0.02</v>
      </c>
      <c r="J20" s="203">
        <v>1.4999999999999999E-2</v>
      </c>
      <c r="K20" s="203">
        <v>1.4999999999999999E-2</v>
      </c>
    </row>
    <row r="21" spans="2:11" ht="13.8" customHeight="1" x14ac:dyDescent="0.5">
      <c r="B21" s="182" t="s">
        <v>92</v>
      </c>
      <c r="C21"/>
      <c r="D21"/>
      <c r="E21"/>
      <c r="F21"/>
      <c r="K21" s="14"/>
    </row>
    <row r="22" spans="2:11" ht="13.8" customHeight="1" x14ac:dyDescent="0.5">
      <c r="B22" s="183" t="s">
        <v>66</v>
      </c>
      <c r="C22"/>
      <c r="D22"/>
      <c r="E22"/>
      <c r="F22"/>
      <c r="K22" s="14"/>
    </row>
    <row r="23" spans="2:11" ht="30.6" customHeight="1" x14ac:dyDescent="0.55000000000000004">
      <c r="B23" s="282" t="s">
        <v>134</v>
      </c>
      <c r="C23" s="283"/>
      <c r="D23" s="283"/>
      <c r="E23" s="283"/>
      <c r="F23" s="283"/>
      <c r="G23" s="283"/>
      <c r="H23" s="283"/>
      <c r="I23" s="283"/>
      <c r="J23" s="283"/>
      <c r="K23" s="284"/>
    </row>
  </sheetData>
  <mergeCells count="9">
    <mergeCell ref="I11:I13"/>
    <mergeCell ref="J11:J13"/>
    <mergeCell ref="K11:K13"/>
    <mergeCell ref="B23:K23"/>
    <mergeCell ref="B11:D13"/>
    <mergeCell ref="E11:E13"/>
    <mergeCell ref="F11:F13"/>
    <mergeCell ref="G11:G13"/>
    <mergeCell ref="H11:H13"/>
  </mergeCells>
  <hyperlinks>
    <hyperlink ref="B22" r:id="rId1" xr:uid="{00000000-0004-0000-0100-000000000000}"/>
  </hyperlinks>
  <pageMargins left="0.37" right="0" top="0.26" bottom="0" header="0.16" footer="0.17"/>
  <pageSetup paperSize="9" scale="48" orientation="portrait" horizontalDpi="4294967292" verticalDpi="180" r:id="rId2"/>
  <headerFooter alignWithMargins="0">
    <oddHeader>&amp;R&amp;8&amp;F &amp;D T4 Bd/Beratung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33462" r:id="rId5" name="Button 86">
              <controlPr defaultSize="0" print="0" autoFill="0" autoPict="0" macro="[0]!Przycisk86_Kliknięcie">
                <anchor moveWithCells="1" sizeWithCells="1">
                  <from>
                    <xdr:col>1</xdr:col>
                    <xdr:colOff>22860</xdr:colOff>
                    <xdr:row>1</xdr:row>
                    <xdr:rowOff>137160</xdr:rowOff>
                  </from>
                  <to>
                    <xdr:col>1</xdr:col>
                    <xdr:colOff>1036320</xdr:colOff>
                    <xdr:row>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463" r:id="rId6" name="Button 87">
              <controlPr defaultSize="0" print="0" autoFill="0" autoPict="0" macro="[0]!Przycisk86_Kliknięcie">
                <anchor moveWithCells="1" sizeWithCells="1">
                  <from>
                    <xdr:col>1</xdr:col>
                    <xdr:colOff>22860</xdr:colOff>
                    <xdr:row>25</xdr:row>
                    <xdr:rowOff>53340</xdr:rowOff>
                  </from>
                  <to>
                    <xdr:col>1</xdr:col>
                    <xdr:colOff>1036320</xdr:colOff>
                    <xdr:row>27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484" r:id="rId7" name="Button 108">
              <controlPr defaultSize="0" print="0" autoFill="0" autoPict="0" macro="[0]!Przycisk108_Kliknięcie">
                <anchor moveWithCells="1" sizeWithCells="1">
                  <from>
                    <xdr:col>1</xdr:col>
                    <xdr:colOff>30480</xdr:colOff>
                    <xdr:row>4</xdr:row>
                    <xdr:rowOff>30480</xdr:rowOff>
                  </from>
                  <to>
                    <xdr:col>1</xdr:col>
                    <xdr:colOff>1021080</xdr:colOff>
                    <xdr:row>5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503" r:id="rId8" name="Button 127">
              <controlPr defaultSize="0" print="0" autoFill="0" autoPict="0" macro="[0]!Przycisk108_Kliknięcie">
                <anchor moveWithCells="1" sizeWithCells="1">
                  <from>
                    <xdr:col>1</xdr:col>
                    <xdr:colOff>30480</xdr:colOff>
                    <xdr:row>27</xdr:row>
                    <xdr:rowOff>106680</xdr:rowOff>
                  </from>
                  <to>
                    <xdr:col>1</xdr:col>
                    <xdr:colOff>1021080</xdr:colOff>
                    <xdr:row>29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504" r:id="rId9" name="Button 128">
              <controlPr defaultSize="0" print="0" autoFill="0" autoPict="0" macro="[0]!Wyniki_2">
                <anchor moveWithCells="1" sizeWithCells="1">
                  <from>
                    <xdr:col>1</xdr:col>
                    <xdr:colOff>30480</xdr:colOff>
                    <xdr:row>29</xdr:row>
                    <xdr:rowOff>144780</xdr:rowOff>
                  </from>
                  <to>
                    <xdr:col>1</xdr:col>
                    <xdr:colOff>998220</xdr:colOff>
                    <xdr:row>31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643" r:id="rId10" name="Button 267">
              <controlPr defaultSize="0" print="0" autoFill="0" autoPict="0" macro="[0]!Start2">
                <anchor moveWithCells="1" sizeWithCells="1">
                  <from>
                    <xdr:col>1</xdr:col>
                    <xdr:colOff>1074420</xdr:colOff>
                    <xdr:row>25</xdr:row>
                    <xdr:rowOff>68580</xdr:rowOff>
                  </from>
                  <to>
                    <xdr:col>1</xdr:col>
                    <xdr:colOff>2065020</xdr:colOff>
                    <xdr:row>27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644" r:id="rId11" name="Button 268">
              <controlPr defaultSize="0" print="0" autoFill="0" autoPict="0" macro="[0]!Przycisk178_Kliknięcie">
                <anchor moveWithCells="1" sizeWithCells="1">
                  <from>
                    <xdr:col>1</xdr:col>
                    <xdr:colOff>2095500</xdr:colOff>
                    <xdr:row>25</xdr:row>
                    <xdr:rowOff>60960</xdr:rowOff>
                  </from>
                  <to>
                    <xdr:col>1</xdr:col>
                    <xdr:colOff>3070860</xdr:colOff>
                    <xdr:row>27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645" r:id="rId12" name="Button 269">
              <controlPr defaultSize="0" print="0" autoFill="0" autoPict="0" macro="[0]!Przycisk86_Kliknięcie">
                <anchor moveWithCells="1" sizeWithCells="1">
                  <from>
                    <xdr:col>1</xdr:col>
                    <xdr:colOff>3124200</xdr:colOff>
                    <xdr:row>25</xdr:row>
                    <xdr:rowOff>60960</xdr:rowOff>
                  </from>
                  <to>
                    <xdr:col>2</xdr:col>
                    <xdr:colOff>822960</xdr:colOff>
                    <xdr:row>27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3646" r:id="rId13" name="Button 270">
              <controlPr defaultSize="0" print="0" autoFill="0" autoPict="0" macro="[0]!Przycisk177_Kliknięcie">
                <anchor moveWithCells="1" sizeWithCells="1">
                  <from>
                    <xdr:col>2</xdr:col>
                    <xdr:colOff>853440</xdr:colOff>
                    <xdr:row>25</xdr:row>
                    <xdr:rowOff>45720</xdr:rowOff>
                  </from>
                  <to>
                    <xdr:col>3</xdr:col>
                    <xdr:colOff>518160</xdr:colOff>
                    <xdr:row>27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0">
    <pageSetUpPr fitToPage="1"/>
  </sheetPr>
  <dimension ref="A1:R232"/>
  <sheetViews>
    <sheetView showGridLines="0" zoomScale="80" zoomScaleNormal="80" workbookViewId="0">
      <selection activeCell="L21" sqref="L21"/>
    </sheetView>
  </sheetViews>
  <sheetFormatPr defaultColWidth="11.44140625" defaultRowHeight="12.9" x14ac:dyDescent="0.5"/>
  <cols>
    <col min="1" max="1" width="5.88671875" style="4" customWidth="1"/>
    <col min="2" max="2" width="45" style="4" customWidth="1"/>
    <col min="3" max="4" width="15.6640625" style="4" customWidth="1"/>
    <col min="5" max="5" width="9.44140625" style="4" customWidth="1"/>
    <col min="6" max="12" width="15.109375" style="4" customWidth="1"/>
    <col min="13" max="13" width="16.6640625" style="4" customWidth="1"/>
    <col min="14" max="16384" width="11.44140625" style="4"/>
  </cols>
  <sheetData>
    <row r="1" spans="1:12" ht="19.5" thickBot="1" x14ac:dyDescent="0.75">
      <c r="B1" s="189" t="s">
        <v>169</v>
      </c>
      <c r="C1" s="189"/>
      <c r="D1" s="189"/>
      <c r="E1" s="189"/>
    </row>
    <row r="2" spans="1:12" ht="13.2" thickTop="1" x14ac:dyDescent="0.5"/>
    <row r="5" spans="1:12" ht="18.3" x14ac:dyDescent="0.7">
      <c r="B5" s="6"/>
    </row>
    <row r="6" spans="1:12" x14ac:dyDescent="0.5">
      <c r="B6" s="5"/>
    </row>
    <row r="8" spans="1:12" ht="14.4" x14ac:dyDescent="0.5">
      <c r="A8" s="7"/>
      <c r="B8" s="237" t="s">
        <v>114</v>
      </c>
      <c r="C8" s="242" t="s">
        <v>115</v>
      </c>
    </row>
    <row r="9" spans="1:12" ht="14.4" x14ac:dyDescent="0.5">
      <c r="A9" s="7"/>
      <c r="B9" s="238" t="s">
        <v>67</v>
      </c>
      <c r="C9" s="187" t="s">
        <v>81</v>
      </c>
      <c r="D9" s="276">
        <v>0</v>
      </c>
      <c r="E9" s="275">
        <f>1-D9</f>
        <v>1</v>
      </c>
    </row>
    <row r="11" spans="1:12" ht="18" customHeight="1" x14ac:dyDescent="0.5">
      <c r="B11" s="227"/>
      <c r="C11" s="228"/>
      <c r="D11" s="295" t="s">
        <v>167</v>
      </c>
      <c r="E11" s="229"/>
      <c r="F11" s="285" t="str">
        <f>'Dane sprawność 2'!E11:E13</f>
        <v>Kocioł gazowy, kondensacyjny o spr. 87%    Wariant A</v>
      </c>
      <c r="G11" s="285" t="str">
        <f>'Dane sprawność 2'!F11:F13</f>
        <v>Gazowa pompa ciepła z wsp.  SPER 124%    Wariant B</v>
      </c>
      <c r="H11" s="285" t="str">
        <f>'Dane sprawność 2'!G11:G13</f>
        <v>Kocioł na pelet o spr. 83%  Wariant C</v>
      </c>
      <c r="I11" s="285" t="str">
        <f>'Dane sprawność 2'!H11</f>
        <v>Kocioł elektryczny o spr. 94%    Wariant D</v>
      </c>
      <c r="J11" s="285" t="str">
        <f>'Dane sprawność 2'!I11:I13</f>
        <v>PV 3,3 kWp + Pompa c. P/W o SCOP=3,45  Wariant E</v>
      </c>
      <c r="K11" s="285" t="str">
        <f>'Dane sprawność 2'!J11:J13</f>
        <v>Powietrzna pompa ciepła o SCOP = 3,45  Wariant F</v>
      </c>
      <c r="L11" s="285" t="str">
        <f>'Dane sprawność 2'!K11:K13</f>
        <v>Gruntowa pompa ciepła o SCOP = 3,75  Wariant G</v>
      </c>
    </row>
    <row r="12" spans="1:12" ht="15" customHeight="1" x14ac:dyDescent="0.7">
      <c r="B12" s="235" t="s">
        <v>163</v>
      </c>
      <c r="C12" s="230"/>
      <c r="D12" s="296"/>
      <c r="E12" s="231"/>
      <c r="F12" s="285"/>
      <c r="G12" s="285"/>
      <c r="H12" s="285"/>
      <c r="I12" s="285"/>
      <c r="J12" s="285"/>
      <c r="K12" s="285"/>
      <c r="L12" s="285"/>
    </row>
    <row r="13" spans="1:12" ht="21" customHeight="1" x14ac:dyDescent="0.5">
      <c r="B13" s="232"/>
      <c r="C13" s="233"/>
      <c r="D13" s="297"/>
      <c r="E13" s="234"/>
      <c r="F13" s="285"/>
      <c r="G13" s="285"/>
      <c r="H13" s="285"/>
      <c r="I13" s="285"/>
      <c r="J13" s="285"/>
      <c r="K13" s="285"/>
      <c r="L13" s="285"/>
    </row>
    <row r="14" spans="1:12" ht="15" customHeight="1" x14ac:dyDescent="0.6">
      <c r="B14" s="184" t="s">
        <v>23</v>
      </c>
      <c r="C14" s="29"/>
      <c r="D14" s="221">
        <v>50</v>
      </c>
      <c r="E14" s="243" t="s">
        <v>117</v>
      </c>
      <c r="F14" s="205"/>
      <c r="G14" s="205"/>
      <c r="H14" s="205">
        <v>16000</v>
      </c>
      <c r="I14" s="205"/>
      <c r="J14" s="205"/>
      <c r="K14" s="205"/>
      <c r="L14" s="205"/>
    </row>
    <row r="15" spans="1:12" ht="15" customHeight="1" x14ac:dyDescent="0.6">
      <c r="B15" s="184" t="s">
        <v>122</v>
      </c>
      <c r="C15" s="29"/>
      <c r="D15" s="221">
        <v>40</v>
      </c>
      <c r="E15" s="243" t="s">
        <v>117</v>
      </c>
      <c r="F15" s="205"/>
      <c r="G15" s="205"/>
      <c r="H15" s="205"/>
      <c r="I15" s="205"/>
      <c r="J15" s="205"/>
      <c r="K15" s="205"/>
      <c r="L15" s="205"/>
    </row>
    <row r="16" spans="1:12" ht="15" customHeight="1" x14ac:dyDescent="0.6">
      <c r="B16" s="184" t="s">
        <v>223</v>
      </c>
      <c r="C16" s="29"/>
      <c r="D16" s="221">
        <v>20</v>
      </c>
      <c r="E16" s="243" t="s">
        <v>117</v>
      </c>
      <c r="F16" s="205">
        <v>6000</v>
      </c>
      <c r="G16" s="205"/>
      <c r="H16" s="205">
        <v>6000</v>
      </c>
      <c r="I16" s="205">
        <v>6000</v>
      </c>
      <c r="J16" s="205">
        <f>('Dane budynku 1'!C28*4200+'Dane budynku 1'!C20/'Dane sprawność 2'!I17/1000*1.25*4200)*E9</f>
        <v>15981.666666666666</v>
      </c>
      <c r="K16" s="205"/>
      <c r="L16" s="205">
        <f>3000*E9</f>
        <v>3000</v>
      </c>
    </row>
    <row r="17" spans="2:12" ht="15" customHeight="1" x14ac:dyDescent="0.6">
      <c r="B17" s="184" t="s">
        <v>41</v>
      </c>
      <c r="C17" s="29"/>
      <c r="D17" s="221">
        <v>20</v>
      </c>
      <c r="E17" s="243" t="s">
        <v>117</v>
      </c>
      <c r="F17" s="205">
        <f>3000*E9</f>
        <v>3000</v>
      </c>
      <c r="G17" s="205"/>
      <c r="H17" s="205">
        <f>4000*E9</f>
        <v>4000</v>
      </c>
      <c r="I17" s="205"/>
      <c r="J17" s="205"/>
      <c r="K17" s="205"/>
      <c r="L17" s="205"/>
    </row>
    <row r="18" spans="2:12" ht="15" customHeight="1" x14ac:dyDescent="0.6">
      <c r="B18" s="184" t="s">
        <v>185</v>
      </c>
      <c r="C18" s="29"/>
      <c r="D18" s="221">
        <v>15</v>
      </c>
      <c r="E18" s="243" t="s">
        <v>117</v>
      </c>
      <c r="F18" s="205">
        <f>10000*E9</f>
        <v>10000</v>
      </c>
      <c r="G18" s="205"/>
      <c r="H18" s="205">
        <f>14000*E9</f>
        <v>14000</v>
      </c>
      <c r="I18" s="205">
        <f>5500*E9</f>
        <v>5500</v>
      </c>
      <c r="J18" s="205"/>
      <c r="K18" s="205"/>
      <c r="L18" s="205"/>
    </row>
    <row r="19" spans="2:12" ht="15" customHeight="1" x14ac:dyDescent="0.6">
      <c r="B19" s="184" t="s">
        <v>40</v>
      </c>
      <c r="C19" s="29"/>
      <c r="D19" s="221">
        <v>50</v>
      </c>
      <c r="E19" s="243" t="s">
        <v>117</v>
      </c>
      <c r="F19" s="205">
        <f>7000*E9</f>
        <v>7000</v>
      </c>
      <c r="G19" s="205">
        <f>7000*E9</f>
        <v>7000</v>
      </c>
      <c r="H19" s="205"/>
      <c r="I19" s="205"/>
      <c r="J19" s="205"/>
      <c r="K19" s="205"/>
      <c r="L19" s="205"/>
    </row>
    <row r="20" spans="2:12" ht="15" customHeight="1" x14ac:dyDescent="0.6">
      <c r="B20" s="184" t="s">
        <v>95</v>
      </c>
      <c r="C20" s="29"/>
      <c r="D20" s="221">
        <v>20</v>
      </c>
      <c r="E20" s="243" t="s">
        <v>117</v>
      </c>
      <c r="F20" s="205"/>
      <c r="G20" s="205">
        <f>45000*E9</f>
        <v>45000</v>
      </c>
      <c r="H20" s="205"/>
      <c r="I20" s="205"/>
      <c r="J20" s="205">
        <f>28000*E9</f>
        <v>28000</v>
      </c>
      <c r="K20" s="205">
        <f>28000*E9</f>
        <v>28000</v>
      </c>
      <c r="L20" s="205">
        <f>28000*E9</f>
        <v>28000</v>
      </c>
    </row>
    <row r="21" spans="2:12" ht="15" customHeight="1" x14ac:dyDescent="0.6">
      <c r="B21" s="184" t="s">
        <v>38</v>
      </c>
      <c r="C21" s="29"/>
      <c r="D21" s="221">
        <v>50</v>
      </c>
      <c r="E21" s="243" t="s">
        <v>117</v>
      </c>
      <c r="F21" s="205"/>
      <c r="G21" s="205"/>
      <c r="H21" s="205"/>
      <c r="I21" s="205"/>
      <c r="J21" s="205"/>
      <c r="K21" s="205"/>
      <c r="L21" s="205">
        <f>15000*E9</f>
        <v>15000</v>
      </c>
    </row>
    <row r="22" spans="2:12" ht="15" customHeight="1" x14ac:dyDescent="0.6">
      <c r="B22" s="184" t="s">
        <v>13</v>
      </c>
      <c r="C22" s="29"/>
      <c r="D22" s="221">
        <v>20</v>
      </c>
      <c r="E22" s="243" t="s">
        <v>117</v>
      </c>
      <c r="F22" s="205"/>
      <c r="G22" s="205"/>
      <c r="H22" s="205"/>
      <c r="I22" s="205"/>
      <c r="J22" s="205"/>
      <c r="K22" s="205"/>
      <c r="L22" s="205"/>
    </row>
    <row r="23" spans="2:12" ht="15" customHeight="1" x14ac:dyDescent="0.6">
      <c r="B23" s="51" t="s">
        <v>186</v>
      </c>
      <c r="C23" s="55"/>
      <c r="D23" s="221">
        <v>40</v>
      </c>
      <c r="E23" s="243" t="s">
        <v>117</v>
      </c>
      <c r="F23" s="205"/>
      <c r="G23" s="205"/>
      <c r="H23" s="205"/>
      <c r="I23" s="205"/>
      <c r="J23" s="205"/>
      <c r="K23" s="205"/>
      <c r="L23" s="205"/>
    </row>
    <row r="24" spans="2:12" ht="15" customHeight="1" x14ac:dyDescent="0.6">
      <c r="B24" s="301" t="s">
        <v>162</v>
      </c>
      <c r="C24" s="302"/>
      <c r="D24" s="303"/>
      <c r="E24" s="243" t="s">
        <v>117</v>
      </c>
      <c r="F24" s="206">
        <f>SUM(F18:F23)*-'Dane budynku 1'!$C$25</f>
        <v>-5100</v>
      </c>
      <c r="G24" s="206">
        <f>SUM(G20:G23)*-'Dane budynku 1'!$C$25</f>
        <v>-13500</v>
      </c>
      <c r="H24" s="206">
        <f>SUM(H17:H23)*-'Dane budynku 1'!$C$25</f>
        <v>-5400</v>
      </c>
      <c r="I24" s="206">
        <f>SUM(I18:I23)*-'Dane budynku 1'!$C$25</f>
        <v>-1650</v>
      </c>
      <c r="J24" s="206">
        <f>SUM(J14:J23)*-'Dane budynku 1'!$C$25</f>
        <v>-13194.499999999998</v>
      </c>
      <c r="K24" s="206">
        <f>SUM(K14:K23)*-'Dane budynku 1'!$C$25</f>
        <v>-8400</v>
      </c>
      <c r="L24" s="206">
        <f>SUM(L14:L23)*-'Dane budynku 1'!$C$25</f>
        <v>-13800</v>
      </c>
    </row>
    <row r="25" spans="2:12" ht="15" customHeight="1" x14ac:dyDescent="0.6">
      <c r="B25" s="298" t="s">
        <v>5</v>
      </c>
      <c r="C25" s="299"/>
      <c r="D25" s="300"/>
      <c r="E25" s="243" t="s">
        <v>117</v>
      </c>
      <c r="F25" s="219">
        <f>SUM(F14:F24)</f>
        <v>20900</v>
      </c>
      <c r="G25" s="220">
        <f>SUM(G14:G24)</f>
        <v>38500</v>
      </c>
      <c r="H25" s="220">
        <f>SUM(H14:H24)</f>
        <v>34600</v>
      </c>
      <c r="I25" s="220">
        <f>SUM(I14:I24)</f>
        <v>9850</v>
      </c>
      <c r="J25" s="220">
        <f>SUM(J14:J24)</f>
        <v>30787.166666666664</v>
      </c>
      <c r="K25" s="220">
        <f>SUM(K11:K24)</f>
        <v>19600</v>
      </c>
      <c r="L25" s="220">
        <f>SUM(L11:L24)</f>
        <v>32200</v>
      </c>
    </row>
    <row r="26" spans="2:12" ht="9" customHeight="1" x14ac:dyDescent="0.55000000000000004">
      <c r="F26" s="46"/>
      <c r="G26" s="46"/>
      <c r="H26" s="46"/>
      <c r="I26" s="46"/>
      <c r="J26" s="46"/>
      <c r="K26" s="46"/>
      <c r="L26" s="46"/>
    </row>
    <row r="27" spans="2:12" x14ac:dyDescent="0.5">
      <c r="B27" s="126" t="s">
        <v>92</v>
      </c>
      <c r="C27"/>
      <c r="D27"/>
      <c r="E27"/>
      <c r="F27"/>
      <c r="G27"/>
      <c r="H27"/>
      <c r="I27"/>
    </row>
    <row r="28" spans="2:12" ht="9.75" customHeight="1" x14ac:dyDescent="0.5">
      <c r="B28" s="127" t="s">
        <v>66</v>
      </c>
      <c r="C28"/>
      <c r="D28"/>
      <c r="E28"/>
      <c r="F28"/>
      <c r="G28"/>
      <c r="H28"/>
      <c r="I28"/>
    </row>
    <row r="29" spans="2:12" ht="15" customHeight="1" x14ac:dyDescent="0.5">
      <c r="B29" s="280" t="s">
        <v>156</v>
      </c>
      <c r="C29" s="280"/>
      <c r="D29" s="280"/>
      <c r="E29" s="280"/>
      <c r="F29" s="280"/>
      <c r="G29" s="280"/>
      <c r="H29" s="280"/>
      <c r="I29" s="280"/>
      <c r="J29" s="280"/>
      <c r="K29" s="280"/>
      <c r="L29" s="280"/>
    </row>
    <row r="30" spans="2:12" ht="15.6" customHeight="1" x14ac:dyDescent="0.5"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</row>
    <row r="31" spans="2:12" ht="21" customHeight="1" x14ac:dyDescent="0.55000000000000004">
      <c r="B31" s="104"/>
      <c r="C31" s="80"/>
      <c r="D31" s="80"/>
      <c r="E31" s="80"/>
      <c r="F31" s="80"/>
      <c r="G31" s="80"/>
      <c r="H31" s="80"/>
      <c r="I31" s="80"/>
    </row>
    <row r="32" spans="2:12" ht="14.4" x14ac:dyDescent="0.55000000000000004">
      <c r="B32" s="104"/>
      <c r="C32" s="80"/>
      <c r="D32" s="80"/>
      <c r="E32" s="80"/>
      <c r="F32" s="80"/>
      <c r="G32" s="80"/>
      <c r="H32" s="80"/>
      <c r="I32" s="80"/>
    </row>
    <row r="33" spans="1:9" ht="15" customHeight="1" x14ac:dyDescent="0.55000000000000004">
      <c r="B33" s="104"/>
      <c r="C33" s="80"/>
      <c r="D33" s="80"/>
      <c r="E33" s="80"/>
      <c r="F33" s="80"/>
      <c r="G33" s="80"/>
      <c r="H33" s="80"/>
      <c r="I33" s="80"/>
    </row>
    <row r="34" spans="1:9" ht="15" customHeight="1" x14ac:dyDescent="0.55000000000000004">
      <c r="B34" s="104"/>
      <c r="C34" s="80"/>
      <c r="D34" s="80"/>
      <c r="E34" s="80"/>
      <c r="F34" s="80"/>
      <c r="G34" s="80"/>
      <c r="H34" s="80"/>
      <c r="I34" s="80"/>
    </row>
    <row r="35" spans="1:9" ht="15" customHeight="1" x14ac:dyDescent="0.55000000000000004">
      <c r="B35" s="104"/>
      <c r="C35" s="80"/>
      <c r="D35" s="80"/>
      <c r="E35" s="80"/>
      <c r="F35" s="80"/>
      <c r="G35" s="80"/>
      <c r="H35" s="80"/>
      <c r="I35" s="80"/>
    </row>
    <row r="36" spans="1:9" ht="15" customHeight="1" x14ac:dyDescent="0.55000000000000004">
      <c r="B36" s="104"/>
      <c r="C36" s="80"/>
      <c r="D36" s="80"/>
      <c r="E36" s="80"/>
      <c r="F36" s="80"/>
      <c r="G36" s="80"/>
      <c r="H36" s="80"/>
      <c r="I36" s="80"/>
    </row>
    <row r="37" spans="1:9" ht="15" customHeight="1" x14ac:dyDescent="0.55000000000000004">
      <c r="B37" s="104"/>
      <c r="C37" s="80"/>
      <c r="D37" s="80"/>
      <c r="E37" s="80"/>
      <c r="F37" s="80"/>
      <c r="G37" s="80"/>
      <c r="H37" s="80"/>
      <c r="I37" s="80"/>
    </row>
    <row r="38" spans="1:9" ht="15" customHeight="1" x14ac:dyDescent="0.55000000000000004">
      <c r="B38" s="104"/>
      <c r="C38" s="80"/>
      <c r="D38" s="80"/>
      <c r="E38" s="80"/>
      <c r="F38" s="80"/>
      <c r="G38" s="80"/>
      <c r="H38" s="80"/>
      <c r="I38" s="80"/>
    </row>
    <row r="39" spans="1:9" ht="15" customHeight="1" x14ac:dyDescent="0.55000000000000004">
      <c r="B39" s="104"/>
      <c r="C39" s="80"/>
      <c r="D39" s="80"/>
      <c r="E39" s="80"/>
      <c r="F39" s="80"/>
      <c r="G39" s="80"/>
      <c r="H39" s="80"/>
      <c r="I39" s="80"/>
    </row>
    <row r="40" spans="1:9" ht="15" customHeight="1" x14ac:dyDescent="0.55000000000000004">
      <c r="B40" s="104"/>
      <c r="C40" s="80"/>
      <c r="D40" s="80"/>
      <c r="E40" s="80"/>
      <c r="F40" s="80"/>
      <c r="G40" s="80"/>
      <c r="H40" s="80"/>
      <c r="I40" s="80"/>
    </row>
    <row r="41" spans="1:9" ht="15" customHeight="1" x14ac:dyDescent="0.55000000000000004">
      <c r="B41" s="104"/>
      <c r="C41" s="80"/>
      <c r="D41" s="80"/>
      <c r="E41" s="80"/>
      <c r="F41" s="80"/>
      <c r="G41" s="80"/>
      <c r="H41" s="80"/>
      <c r="I41" s="80"/>
    </row>
    <row r="42" spans="1:9" ht="15" customHeight="1" x14ac:dyDescent="0.55000000000000004">
      <c r="B42" s="104"/>
      <c r="C42" s="80"/>
      <c r="D42" s="80"/>
      <c r="E42" s="80"/>
      <c r="F42" s="80"/>
      <c r="G42" s="80"/>
      <c r="H42" s="80"/>
      <c r="I42" s="80"/>
    </row>
    <row r="43" spans="1:9" ht="15" customHeight="1" x14ac:dyDescent="0.55000000000000004">
      <c r="B43" s="104"/>
      <c r="C43" s="80"/>
      <c r="D43" s="80"/>
      <c r="E43" s="80"/>
      <c r="F43" s="80"/>
      <c r="G43" s="80"/>
      <c r="H43" s="80"/>
      <c r="I43" s="80"/>
    </row>
    <row r="44" spans="1:9" ht="23.25" customHeight="1" x14ac:dyDescent="0.55000000000000004">
      <c r="B44" s="104"/>
      <c r="C44" s="80"/>
      <c r="D44" s="80"/>
      <c r="E44" s="80"/>
      <c r="F44" s="80"/>
      <c r="G44" s="80"/>
      <c r="H44" s="80"/>
      <c r="I44" s="80"/>
    </row>
    <row r="45" spans="1:9" ht="15" customHeight="1" x14ac:dyDescent="0.55000000000000004">
      <c r="B45" s="104"/>
      <c r="C45" s="80"/>
      <c r="D45" s="80"/>
      <c r="E45" s="80"/>
      <c r="F45" s="80"/>
      <c r="G45" s="80"/>
      <c r="H45" s="80"/>
      <c r="I45" s="80"/>
    </row>
    <row r="46" spans="1:9" ht="18" customHeight="1" x14ac:dyDescent="0.55000000000000004">
      <c r="A46" s="18"/>
      <c r="B46" s="104"/>
      <c r="C46" s="80"/>
      <c r="D46" s="80"/>
      <c r="E46" s="80"/>
      <c r="F46" s="80"/>
      <c r="G46" s="80"/>
      <c r="H46" s="80"/>
      <c r="I46" s="80"/>
    </row>
    <row r="47" spans="1:9" ht="9" customHeight="1" x14ac:dyDescent="0.55000000000000004">
      <c r="B47" s="104"/>
      <c r="C47" s="80"/>
      <c r="D47" s="80"/>
      <c r="E47" s="80"/>
      <c r="F47" s="80"/>
      <c r="G47" s="80"/>
      <c r="H47" s="80"/>
      <c r="I47" s="80"/>
    </row>
    <row r="48" spans="1:9" ht="15" customHeight="1" x14ac:dyDescent="0.55000000000000004">
      <c r="B48" s="104"/>
      <c r="C48" s="80"/>
      <c r="D48" s="80"/>
      <c r="E48" s="80"/>
      <c r="F48" s="80"/>
      <c r="G48" s="80"/>
      <c r="H48" s="80"/>
      <c r="I48" s="80"/>
    </row>
    <row r="49" spans="1:12" ht="15" customHeight="1" x14ac:dyDescent="0.55000000000000004">
      <c r="B49" s="104"/>
      <c r="C49" s="80"/>
      <c r="D49" s="80"/>
      <c r="E49" s="80"/>
      <c r="F49" s="80"/>
      <c r="G49" s="80"/>
      <c r="H49" s="80"/>
      <c r="I49" s="80"/>
    </row>
    <row r="50" spans="1:12" ht="15" customHeight="1" x14ac:dyDescent="0.55000000000000004">
      <c r="B50" s="104"/>
      <c r="C50" s="80"/>
      <c r="D50" s="80"/>
      <c r="E50" s="80"/>
      <c r="F50" s="80"/>
      <c r="G50" s="80"/>
      <c r="H50" s="80"/>
      <c r="I50" s="80"/>
    </row>
    <row r="51" spans="1:12" ht="15" customHeight="1" x14ac:dyDescent="0.6">
      <c r="A51" s="29"/>
      <c r="B51" s="104"/>
      <c r="C51" s="80"/>
      <c r="D51" s="80"/>
      <c r="E51" s="80"/>
      <c r="F51" s="80"/>
      <c r="G51" s="80"/>
      <c r="H51" s="80"/>
      <c r="I51" s="80"/>
    </row>
    <row r="52" spans="1:12" ht="15" customHeight="1" x14ac:dyDescent="0.6">
      <c r="A52" s="29"/>
      <c r="B52" s="104"/>
      <c r="C52" s="80"/>
      <c r="D52" s="80"/>
      <c r="E52" s="80"/>
      <c r="F52" s="80"/>
      <c r="G52" s="80"/>
      <c r="H52" s="80"/>
      <c r="I52" s="80"/>
    </row>
    <row r="53" spans="1:12" ht="15" customHeight="1" x14ac:dyDescent="0.6">
      <c r="A53" s="29"/>
      <c r="B53" s="104"/>
      <c r="C53" s="80"/>
      <c r="D53" s="80"/>
      <c r="E53" s="80"/>
      <c r="F53" s="80"/>
      <c r="G53" s="80"/>
      <c r="H53" s="80"/>
      <c r="I53" s="80"/>
      <c r="J53" s="88"/>
      <c r="K53" s="88"/>
      <c r="L53" s="88"/>
    </row>
    <row r="54" spans="1:12" ht="15" customHeight="1" x14ac:dyDescent="0.6">
      <c r="A54" s="29"/>
      <c r="B54" s="104"/>
      <c r="C54" s="80"/>
      <c r="D54" s="80"/>
      <c r="E54" s="80"/>
      <c r="F54" s="80"/>
      <c r="G54" s="80"/>
      <c r="H54" s="80"/>
      <c r="I54" s="80"/>
      <c r="J54" s="88"/>
      <c r="K54" s="88"/>
      <c r="L54" s="88"/>
    </row>
    <row r="55" spans="1:12" ht="15" customHeight="1" x14ac:dyDescent="0.6">
      <c r="A55" s="29"/>
      <c r="B55" s="104"/>
      <c r="C55" s="80"/>
      <c r="D55" s="80"/>
      <c r="E55" s="80"/>
      <c r="F55" s="80"/>
      <c r="G55" s="80"/>
      <c r="H55" s="80"/>
      <c r="I55" s="80"/>
      <c r="J55" s="88"/>
      <c r="K55" s="88"/>
      <c r="L55" s="88"/>
    </row>
    <row r="56" spans="1:12" ht="15" customHeight="1" x14ac:dyDescent="0.6">
      <c r="A56" s="29"/>
      <c r="B56" s="104"/>
      <c r="C56" s="80"/>
      <c r="D56" s="80"/>
      <c r="E56" s="80"/>
      <c r="F56" s="80"/>
      <c r="G56" s="80"/>
      <c r="H56" s="80"/>
      <c r="I56" s="80"/>
      <c r="J56" s="105"/>
      <c r="K56" s="105"/>
      <c r="L56" s="88"/>
    </row>
    <row r="57" spans="1:12" ht="15" customHeight="1" x14ac:dyDescent="0.55000000000000004">
      <c r="B57" s="104"/>
      <c r="C57" s="80"/>
      <c r="D57" s="80"/>
      <c r="E57" s="80"/>
      <c r="F57" s="80"/>
      <c r="G57" s="80"/>
      <c r="H57" s="80"/>
      <c r="I57" s="80"/>
      <c r="J57" s="88"/>
      <c r="K57" s="88"/>
      <c r="L57" s="88"/>
    </row>
    <row r="58" spans="1:12" ht="15" customHeight="1" x14ac:dyDescent="0.55000000000000004">
      <c r="B58" s="104"/>
      <c r="C58" s="80"/>
      <c r="D58" s="80"/>
      <c r="E58" s="80"/>
      <c r="F58" s="80"/>
      <c r="G58" s="80"/>
      <c r="H58" s="80"/>
      <c r="I58" s="80"/>
      <c r="J58" s="88"/>
      <c r="K58" s="88"/>
      <c r="L58" s="88"/>
    </row>
    <row r="59" spans="1:12" ht="24" customHeight="1" x14ac:dyDescent="0.6">
      <c r="A59" s="29"/>
      <c r="B59" s="104"/>
      <c r="C59" s="80"/>
      <c r="D59" s="80"/>
      <c r="E59" s="80"/>
      <c r="F59" s="80"/>
      <c r="G59" s="80"/>
      <c r="H59" s="80"/>
      <c r="I59" s="80"/>
      <c r="J59" s="106"/>
      <c r="K59" s="106"/>
      <c r="L59" s="106"/>
    </row>
    <row r="60" spans="1:12" ht="8.25" customHeight="1" x14ac:dyDescent="0.6">
      <c r="A60" s="29"/>
      <c r="B60" s="104"/>
      <c r="C60" s="80"/>
      <c r="D60" s="80"/>
      <c r="E60" s="80"/>
      <c r="F60" s="80"/>
      <c r="G60" s="80"/>
      <c r="H60" s="80"/>
      <c r="I60" s="80"/>
      <c r="J60" s="106"/>
      <c r="K60" s="106"/>
      <c r="L60" s="106"/>
    </row>
    <row r="61" spans="1:12" ht="52.2" x14ac:dyDescent="0.6">
      <c r="A61" s="29"/>
      <c r="B61" s="104">
        <v>31</v>
      </c>
      <c r="C61" s="108">
        <f>F25</f>
        <v>20900</v>
      </c>
      <c r="D61" s="108"/>
      <c r="E61" s="108">
        <f>H25</f>
        <v>34600</v>
      </c>
      <c r="F61" s="110">
        <f>I25</f>
        <v>9850</v>
      </c>
      <c r="G61" s="110">
        <f>J25</f>
        <v>30787.166666666664</v>
      </c>
      <c r="H61" s="108">
        <f>K25</f>
        <v>19600</v>
      </c>
      <c r="I61" s="108">
        <f>L25</f>
        <v>32200</v>
      </c>
      <c r="J61" s="111" t="s">
        <v>54</v>
      </c>
      <c r="K61" s="111" t="s">
        <v>43</v>
      </c>
      <c r="L61" s="111" t="s">
        <v>47</v>
      </c>
    </row>
    <row r="62" spans="1:12" x14ac:dyDescent="0.5">
      <c r="B62" s="107">
        <v>1</v>
      </c>
      <c r="C62" s="113" t="e">
        <f>#REF!+C61*(1+#REF!)^$B62+#REF!*(1+#REF!)^$B62</f>
        <v>#REF!</v>
      </c>
      <c r="D62" s="113"/>
      <c r="E62" s="113" t="e">
        <f>#REF!+E61+#REF!*(1+#REF!)^$B62</f>
        <v>#REF!</v>
      </c>
      <c r="F62" s="113" t="e">
        <f>#REF!+F61+#REF!*(1+#REF!)^$B62</f>
        <v>#REF!</v>
      </c>
      <c r="G62" s="113" t="e">
        <f>#REF!+G61+#REF!*(1+#REF!)^$B62</f>
        <v>#REF!</v>
      </c>
      <c r="H62" s="113" t="e">
        <f>#REF!+H61+#REF!*(1+#REF!)^$B62</f>
        <v>#REF!</v>
      </c>
      <c r="I62" s="113" t="e">
        <f>#REF!+I61+#REF!*(1+#REF!)^$B62</f>
        <v>#REF!</v>
      </c>
      <c r="J62" s="114" t="e">
        <f t="shared" ref="J62:J86" si="0">IF($I62&lt;C62,0,1)</f>
        <v>#REF!</v>
      </c>
      <c r="K62" s="114" t="e">
        <f>IF($I62&lt;#REF!,0,1)</f>
        <v>#REF!</v>
      </c>
      <c r="L62" s="114" t="e">
        <f t="shared" ref="L62:L86" si="1">IF($I62&lt;E62,0,1)</f>
        <v>#REF!</v>
      </c>
    </row>
    <row r="63" spans="1:12" ht="18.75" customHeight="1" x14ac:dyDescent="0.5">
      <c r="B63" s="107">
        <v>2</v>
      </c>
      <c r="C63" s="113" t="e">
        <f>#REF!+C62+#REF!*(1+#REF!)^$B63</f>
        <v>#REF!</v>
      </c>
      <c r="D63" s="113"/>
      <c r="E63" s="113" t="e">
        <f>#REF!+E62+#REF!*(1+#REF!)^$B63</f>
        <v>#REF!</v>
      </c>
      <c r="F63" s="113" t="e">
        <f>#REF!+F62+#REF!*(1+#REF!)^$B63</f>
        <v>#REF!</v>
      </c>
      <c r="G63" s="113" t="e">
        <f>#REF!+G62+#REF!*(1+#REF!)^$B63</f>
        <v>#REF!</v>
      </c>
      <c r="H63" s="113" t="e">
        <f>#REF!+H62+#REF!*(1+#REF!)^$B63</f>
        <v>#REF!</v>
      </c>
      <c r="I63" s="113" t="e">
        <f>#REF!+I62+#REF!*(1+#REF!)^$B63</f>
        <v>#REF!</v>
      </c>
      <c r="J63" s="114" t="e">
        <f t="shared" si="0"/>
        <v>#REF!</v>
      </c>
      <c r="K63" s="114" t="e">
        <f>IF($I63&lt;#REF!,0,1)</f>
        <v>#REF!</v>
      </c>
      <c r="L63" s="114" t="e">
        <f t="shared" si="1"/>
        <v>#REF!</v>
      </c>
    </row>
    <row r="64" spans="1:12" ht="18.75" customHeight="1" x14ac:dyDescent="0.5">
      <c r="B64" s="107">
        <v>3</v>
      </c>
      <c r="C64" s="113" t="e">
        <f>#REF!+C63+#REF!*(1+#REF!)^$B64</f>
        <v>#REF!</v>
      </c>
      <c r="D64" s="113"/>
      <c r="E64" s="113" t="e">
        <f>#REF!+E63+#REF!*(1+#REF!)^$B64</f>
        <v>#REF!</v>
      </c>
      <c r="F64" s="113" t="e">
        <f>#REF!+F63+#REF!*(1+#REF!)^$B64</f>
        <v>#REF!</v>
      </c>
      <c r="G64" s="113" t="e">
        <f>#REF!+G63+#REF!*(1+#REF!)^$B64</f>
        <v>#REF!</v>
      </c>
      <c r="H64" s="113" t="e">
        <f>#REF!+H63+#REF!*(1+#REF!)^$B64</f>
        <v>#REF!</v>
      </c>
      <c r="I64" s="113" t="e">
        <f>#REF!+I63+#REF!*(1+#REF!)^$B64</f>
        <v>#REF!</v>
      </c>
      <c r="J64" s="114" t="e">
        <f t="shared" si="0"/>
        <v>#REF!</v>
      </c>
      <c r="K64" s="114" t="e">
        <f>IF($I64&lt;#REF!,0,1)</f>
        <v>#REF!</v>
      </c>
      <c r="L64" s="114" t="e">
        <f t="shared" si="1"/>
        <v>#REF!</v>
      </c>
    </row>
    <row r="65" spans="2:12" ht="19.5" customHeight="1" x14ac:dyDescent="0.5">
      <c r="B65" s="107">
        <v>4</v>
      </c>
      <c r="C65" s="113" t="e">
        <f>#REF!+C64+#REF!*(1+#REF!)^$B65</f>
        <v>#REF!</v>
      </c>
      <c r="D65" s="113"/>
      <c r="E65" s="113" t="e">
        <f>#REF!+E64+#REF!*(1+#REF!)^$B65</f>
        <v>#REF!</v>
      </c>
      <c r="F65" s="113" t="e">
        <f>#REF!+F64+#REF!*(1+#REF!)^$B65</f>
        <v>#REF!</v>
      </c>
      <c r="G65" s="113" t="e">
        <f>#REF!+G64+#REF!*(1+#REF!)^$B65</f>
        <v>#REF!</v>
      </c>
      <c r="H65" s="113" t="e">
        <f>#REF!+H64+#REF!*(1+#REF!)^$B65</f>
        <v>#REF!</v>
      </c>
      <c r="I65" s="113" t="e">
        <f>#REF!+I64+#REF!*(1+#REF!)^$B65</f>
        <v>#REF!</v>
      </c>
      <c r="J65" s="114" t="e">
        <f t="shared" si="0"/>
        <v>#REF!</v>
      </c>
      <c r="K65" s="114" t="e">
        <f>IF($I65&lt;#REF!,0,1)</f>
        <v>#REF!</v>
      </c>
      <c r="L65" s="114" t="e">
        <f t="shared" si="1"/>
        <v>#REF!</v>
      </c>
    </row>
    <row r="66" spans="2:12" ht="19.5" hidden="1" customHeight="1" x14ac:dyDescent="0.5">
      <c r="B66" s="107">
        <v>5</v>
      </c>
      <c r="C66" s="113" t="e">
        <f>#REF!+C65+#REF!*(1+#REF!)^$B66</f>
        <v>#REF!</v>
      </c>
      <c r="D66" s="113"/>
      <c r="E66" s="113" t="e">
        <f>#REF!+E65+#REF!*(1+#REF!)^$B66</f>
        <v>#REF!</v>
      </c>
      <c r="F66" s="113" t="e">
        <f>#REF!+F65+#REF!*(1+#REF!)^$B66</f>
        <v>#REF!</v>
      </c>
      <c r="G66" s="113" t="e">
        <f>#REF!+G65+#REF!*(1+#REF!)^$B66</f>
        <v>#REF!</v>
      </c>
      <c r="H66" s="113" t="e">
        <f>#REF!+H65+#REF!*(1+#REF!)^$B66</f>
        <v>#REF!</v>
      </c>
      <c r="I66" s="113" t="e">
        <f>#REF!+I65+#REF!*(1+#REF!)^$B66</f>
        <v>#REF!</v>
      </c>
      <c r="J66" s="114" t="e">
        <f t="shared" si="0"/>
        <v>#REF!</v>
      </c>
      <c r="K66" s="114" t="e">
        <f>IF($I66&lt;#REF!,0,1)</f>
        <v>#REF!</v>
      </c>
      <c r="L66" s="114" t="e">
        <f t="shared" si="1"/>
        <v>#REF!</v>
      </c>
    </row>
    <row r="67" spans="2:12" ht="19.5" customHeight="1" x14ac:dyDescent="0.5">
      <c r="B67" s="107">
        <v>6</v>
      </c>
      <c r="C67" s="113" t="e">
        <f>#REF!+C66+#REF!*(1+#REF!)^$B67</f>
        <v>#REF!</v>
      </c>
      <c r="D67" s="113"/>
      <c r="E67" s="113" t="e">
        <f>#REF!+E66+#REF!*(1+#REF!)^$B67</f>
        <v>#REF!</v>
      </c>
      <c r="F67" s="113" t="e">
        <f>#REF!+F66+#REF!*(1+#REF!)^$B67</f>
        <v>#REF!</v>
      </c>
      <c r="G67" s="113" t="e">
        <f>#REF!+G66+#REF!*(1+#REF!)^$B67</f>
        <v>#REF!</v>
      </c>
      <c r="H67" s="113" t="e">
        <f>#REF!+H66+#REF!*(1+#REF!)^$B67</f>
        <v>#REF!</v>
      </c>
      <c r="I67" s="113" t="e">
        <f>#REF!+I66+#REF!*(1+#REF!)^$B67</f>
        <v>#REF!</v>
      </c>
      <c r="J67" s="114" t="e">
        <f t="shared" si="0"/>
        <v>#REF!</v>
      </c>
      <c r="K67" s="114" t="e">
        <f>IF($I67&lt;#REF!,0,1)</f>
        <v>#REF!</v>
      </c>
      <c r="L67" s="114" t="e">
        <f t="shared" si="1"/>
        <v>#REF!</v>
      </c>
    </row>
    <row r="68" spans="2:12" ht="19.5" customHeight="1" x14ac:dyDescent="0.5">
      <c r="B68" s="107">
        <v>7</v>
      </c>
      <c r="C68" s="113" t="e">
        <f>#REF!+C67+#REF!*(1+#REF!)^$B68</f>
        <v>#REF!</v>
      </c>
      <c r="D68" s="113"/>
      <c r="E68" s="113" t="e">
        <f>#REF!+E67+#REF!*(1+#REF!)^$B68</f>
        <v>#REF!</v>
      </c>
      <c r="F68" s="113" t="e">
        <f>#REF!+F67+#REF!*(1+#REF!)^$B68</f>
        <v>#REF!</v>
      </c>
      <c r="G68" s="113" t="e">
        <f>#REF!+G67+#REF!*(1+#REF!)^$B68</f>
        <v>#REF!</v>
      </c>
      <c r="H68" s="113" t="e">
        <f>#REF!+H67+#REF!*(1+#REF!)^$B68</f>
        <v>#REF!</v>
      </c>
      <c r="I68" s="113" t="e">
        <f>#REF!+I67+#REF!*(1+#REF!)^$B68</f>
        <v>#REF!</v>
      </c>
      <c r="J68" s="114" t="e">
        <f t="shared" si="0"/>
        <v>#REF!</v>
      </c>
      <c r="K68" s="114" t="e">
        <f>IF($I68&lt;#REF!,0,1)</f>
        <v>#REF!</v>
      </c>
      <c r="L68" s="114" t="e">
        <f t="shared" si="1"/>
        <v>#REF!</v>
      </c>
    </row>
    <row r="69" spans="2:12" ht="11.25" customHeight="1" x14ac:dyDescent="0.5">
      <c r="B69" s="107">
        <v>8</v>
      </c>
      <c r="C69" s="113" t="e">
        <f>#REF!+C68+#REF!*(1+#REF!)^$B69</f>
        <v>#REF!</v>
      </c>
      <c r="D69" s="113"/>
      <c r="E69" s="113" t="e">
        <f>#REF!+E68+#REF!*(1+#REF!)^$B69</f>
        <v>#REF!</v>
      </c>
      <c r="F69" s="113" t="e">
        <f>#REF!+F68+#REF!*(1+#REF!)^$B69</f>
        <v>#REF!</v>
      </c>
      <c r="G69" s="113" t="e">
        <f>#REF!+G68+#REF!*(1+#REF!)^$B69</f>
        <v>#REF!</v>
      </c>
      <c r="H69" s="113" t="e">
        <f>#REF!+H68+#REF!*(1+#REF!)^$B69</f>
        <v>#REF!</v>
      </c>
      <c r="I69" s="113" t="e">
        <f>#REF!+I68+#REF!*(1+#REF!)^$B69</f>
        <v>#REF!</v>
      </c>
      <c r="J69" s="114" t="e">
        <f t="shared" si="0"/>
        <v>#REF!</v>
      </c>
      <c r="K69" s="114" t="e">
        <f>IF($I69&lt;#REF!,0,1)</f>
        <v>#REF!</v>
      </c>
      <c r="L69" s="114" t="e">
        <f t="shared" si="1"/>
        <v>#REF!</v>
      </c>
    </row>
    <row r="70" spans="2:12" x14ac:dyDescent="0.5">
      <c r="B70" s="107">
        <v>9</v>
      </c>
      <c r="C70" s="113" t="e">
        <f>#REF!+C69+#REF!*(1+#REF!)^$B70</f>
        <v>#REF!</v>
      </c>
      <c r="D70" s="113"/>
      <c r="E70" s="113" t="e">
        <f>#REF!+E69+#REF!*(1+#REF!)^$B70</f>
        <v>#REF!</v>
      </c>
      <c r="F70" s="113" t="e">
        <f>#REF!+F69+#REF!*(1+#REF!)^$B70</f>
        <v>#REF!</v>
      </c>
      <c r="G70" s="113" t="e">
        <f>#REF!+G69+#REF!*(1+#REF!)^$B70</f>
        <v>#REF!</v>
      </c>
      <c r="H70" s="113" t="e">
        <f>#REF!+H69+#REF!*(1+#REF!)^$B70</f>
        <v>#REF!</v>
      </c>
      <c r="I70" s="113" t="e">
        <f>#REF!+I69+#REF!*(1+#REF!)^$B70</f>
        <v>#REF!</v>
      </c>
      <c r="J70" s="114" t="e">
        <f t="shared" si="0"/>
        <v>#REF!</v>
      </c>
      <c r="K70" s="114" t="e">
        <f>IF($I70&lt;#REF!,0,1)</f>
        <v>#REF!</v>
      </c>
      <c r="L70" s="114" t="e">
        <f t="shared" si="1"/>
        <v>#REF!</v>
      </c>
    </row>
    <row r="71" spans="2:12" x14ac:dyDescent="0.5">
      <c r="B71" s="107">
        <v>10</v>
      </c>
      <c r="C71" s="113" t="e">
        <f>#REF!+C70+#REF!*(1+#REF!)^$B71</f>
        <v>#REF!</v>
      </c>
      <c r="D71" s="113"/>
      <c r="E71" s="113" t="e">
        <f>#REF!+E70+#REF!*(1+#REF!)^$B71</f>
        <v>#REF!</v>
      </c>
      <c r="F71" s="113" t="e">
        <f>#REF!+F70+#REF!*(1+#REF!)^$B71</f>
        <v>#REF!</v>
      </c>
      <c r="G71" s="113" t="e">
        <f>#REF!+G70+#REF!*(1+#REF!)^$B71</f>
        <v>#REF!</v>
      </c>
      <c r="H71" s="113" t="e">
        <f>#REF!+H70+#REF!*(1+#REF!)^$B71</f>
        <v>#REF!</v>
      </c>
      <c r="I71" s="113" t="e">
        <f>#REF!+I70+#REF!*(1+#REF!)^$B71</f>
        <v>#REF!</v>
      </c>
      <c r="J71" s="114" t="e">
        <f t="shared" si="0"/>
        <v>#REF!</v>
      </c>
      <c r="K71" s="114" t="e">
        <f>IF($I71&lt;#REF!,0,1)</f>
        <v>#REF!</v>
      </c>
      <c r="L71" s="114" t="e">
        <f t="shared" si="1"/>
        <v>#REF!</v>
      </c>
    </row>
    <row r="72" spans="2:12" x14ac:dyDescent="0.5">
      <c r="B72" s="107">
        <v>11</v>
      </c>
      <c r="C72" s="113" t="e">
        <f>#REF!+C71+#REF!*(1+#REF!)^$B72</f>
        <v>#REF!</v>
      </c>
      <c r="D72" s="113"/>
      <c r="E72" s="113" t="e">
        <f>#REF!+E71+#REF!*(1+#REF!)^$B72</f>
        <v>#REF!</v>
      </c>
      <c r="F72" s="113" t="e">
        <f>#REF!+F71+#REF!*(1+#REF!)^$B72</f>
        <v>#REF!</v>
      </c>
      <c r="G72" s="113" t="e">
        <f>#REF!+G71+#REF!*(1+#REF!)^$B72</f>
        <v>#REF!</v>
      </c>
      <c r="H72" s="113" t="e">
        <f>#REF!+H71+#REF!*(1+#REF!)^$B72</f>
        <v>#REF!</v>
      </c>
      <c r="I72" s="113" t="e">
        <f>#REF!+I71+#REF!*(1+#REF!)^$B72</f>
        <v>#REF!</v>
      </c>
      <c r="J72" s="114" t="e">
        <f t="shared" si="0"/>
        <v>#REF!</v>
      </c>
      <c r="K72" s="114" t="e">
        <f>IF($I72&lt;#REF!,0,1)</f>
        <v>#REF!</v>
      </c>
      <c r="L72" s="114" t="e">
        <f t="shared" si="1"/>
        <v>#REF!</v>
      </c>
    </row>
    <row r="73" spans="2:12" ht="19.5" customHeight="1" x14ac:dyDescent="0.5">
      <c r="B73" s="107">
        <v>12</v>
      </c>
      <c r="C73" s="113" t="e">
        <f>#REF!+C72+#REF!*(1+#REF!)^$B73</f>
        <v>#REF!</v>
      </c>
      <c r="D73" s="113"/>
      <c r="E73" s="113" t="e">
        <f>#REF!+E72+#REF!*(1+#REF!)^$B73</f>
        <v>#REF!</v>
      </c>
      <c r="F73" s="113" t="e">
        <f>#REF!+F72+#REF!*(1+#REF!)^$B73</f>
        <v>#REF!</v>
      </c>
      <c r="G73" s="113" t="e">
        <f>#REF!+G72+#REF!*(1+#REF!)^$B73</f>
        <v>#REF!</v>
      </c>
      <c r="H73" s="113" t="e">
        <f>#REF!+H72+#REF!*(1+#REF!)^$B73</f>
        <v>#REF!</v>
      </c>
      <c r="I73" s="113" t="e">
        <f>#REF!+I72+#REF!*(1+#REF!)^$B73</f>
        <v>#REF!</v>
      </c>
      <c r="J73" s="114" t="e">
        <f t="shared" si="0"/>
        <v>#REF!</v>
      </c>
      <c r="K73" s="114" t="e">
        <f>IF($I73&lt;#REF!,0,1)</f>
        <v>#REF!</v>
      </c>
      <c r="L73" s="114" t="e">
        <f t="shared" si="1"/>
        <v>#REF!</v>
      </c>
    </row>
    <row r="74" spans="2:12" ht="10.5" customHeight="1" x14ac:dyDescent="0.5">
      <c r="B74" s="107">
        <v>13</v>
      </c>
      <c r="C74" s="113" t="e">
        <f>#REF!+C73+#REF!*(1+#REF!)^$B74</f>
        <v>#REF!</v>
      </c>
      <c r="D74" s="113"/>
      <c r="E74" s="113" t="e">
        <f>#REF!+E73+#REF!*(1+#REF!)^$B74</f>
        <v>#REF!</v>
      </c>
      <c r="F74" s="113" t="e">
        <f>#REF!+F73+#REF!*(1+#REF!)^$B74</f>
        <v>#REF!</v>
      </c>
      <c r="G74" s="113" t="e">
        <f>#REF!+G73+#REF!*(1+#REF!)^$B74</f>
        <v>#REF!</v>
      </c>
      <c r="H74" s="113" t="e">
        <f>#REF!+H73+#REF!*(1+#REF!)^$B74</f>
        <v>#REF!</v>
      </c>
      <c r="I74" s="113" t="e">
        <f>#REF!+I73+#REF!*(1+#REF!)^$B74</f>
        <v>#REF!</v>
      </c>
      <c r="J74" s="114" t="e">
        <f t="shared" si="0"/>
        <v>#REF!</v>
      </c>
      <c r="K74" s="114" t="e">
        <f>IF($I74&lt;#REF!,0,1)</f>
        <v>#REF!</v>
      </c>
      <c r="L74" s="114" t="e">
        <f t="shared" si="1"/>
        <v>#REF!</v>
      </c>
    </row>
    <row r="75" spans="2:12" x14ac:dyDescent="0.5">
      <c r="B75" s="107">
        <v>14</v>
      </c>
      <c r="C75" s="113" t="e">
        <f>#REF!+C74+#REF!*(1+#REF!)^$B75</f>
        <v>#REF!</v>
      </c>
      <c r="D75" s="113"/>
      <c r="E75" s="113" t="e">
        <f>#REF!+E74+#REF!*(1+#REF!)^$B75</f>
        <v>#REF!</v>
      </c>
      <c r="F75" s="113" t="e">
        <f>#REF!+F74+#REF!*(1+#REF!)^$B75</f>
        <v>#REF!</v>
      </c>
      <c r="G75" s="113" t="e">
        <f>#REF!+G74+#REF!*(1+#REF!)^$B75</f>
        <v>#REF!</v>
      </c>
      <c r="H75" s="113" t="e">
        <f>#REF!+H74+#REF!*(1+#REF!)^$B75</f>
        <v>#REF!</v>
      </c>
      <c r="I75" s="113" t="e">
        <f>#REF!+I74+#REF!*(1+#REF!)^$B75</f>
        <v>#REF!</v>
      </c>
      <c r="J75" s="114" t="e">
        <f t="shared" si="0"/>
        <v>#REF!</v>
      </c>
      <c r="K75" s="114" t="e">
        <f>IF($I75&lt;#REF!,0,1)</f>
        <v>#REF!</v>
      </c>
      <c r="L75" s="114" t="e">
        <f t="shared" si="1"/>
        <v>#REF!</v>
      </c>
    </row>
    <row r="76" spans="2:12" x14ac:dyDescent="0.5">
      <c r="B76" s="107">
        <v>15</v>
      </c>
      <c r="C76" s="113" t="e">
        <f>#REF!+C75+#REF!*(1+#REF!)^$B76</f>
        <v>#REF!</v>
      </c>
      <c r="D76" s="113"/>
      <c r="E76" s="113" t="e">
        <f>#REF!+E75+#REF!*(1+#REF!)^$B76</f>
        <v>#REF!</v>
      </c>
      <c r="F76" s="113" t="e">
        <f>#REF!+F75+#REF!*(1+#REF!)^$B76</f>
        <v>#REF!</v>
      </c>
      <c r="G76" s="113" t="e">
        <f>#REF!+G75+#REF!*(1+#REF!)^$B76</f>
        <v>#REF!</v>
      </c>
      <c r="H76" s="113" t="e">
        <f>#REF!+H75+#REF!*(1+#REF!)^$B76</f>
        <v>#REF!</v>
      </c>
      <c r="I76" s="113" t="e">
        <f>#REF!+I75+#REF!*(1+#REF!)^$B76</f>
        <v>#REF!</v>
      </c>
      <c r="J76" s="114" t="e">
        <f t="shared" si="0"/>
        <v>#REF!</v>
      </c>
      <c r="K76" s="114" t="e">
        <f>IF($I76&lt;#REF!,0,1)</f>
        <v>#REF!</v>
      </c>
      <c r="L76" s="114" t="e">
        <f t="shared" si="1"/>
        <v>#REF!</v>
      </c>
    </row>
    <row r="77" spans="2:12" x14ac:dyDescent="0.5">
      <c r="B77" s="107">
        <v>16</v>
      </c>
      <c r="C77" s="113" t="e">
        <f>#REF!+C76+#REF!*(1+#REF!)^$B77</f>
        <v>#REF!</v>
      </c>
      <c r="D77" s="113"/>
      <c r="E77" s="113" t="e">
        <f>#REF!+E76+#REF!*(1+#REF!)^$B77</f>
        <v>#REF!</v>
      </c>
      <c r="F77" s="113" t="e">
        <f>#REF!+F76+#REF!*(1+#REF!)^$B77</f>
        <v>#REF!</v>
      </c>
      <c r="G77" s="113" t="e">
        <f>#REF!+G76+#REF!*(1+#REF!)^$B77</f>
        <v>#REF!</v>
      </c>
      <c r="H77" s="113" t="e">
        <f>#REF!+H76+#REF!*(1+#REF!)^$B77</f>
        <v>#REF!</v>
      </c>
      <c r="I77" s="113" t="e">
        <f>#REF!+I76+#REF!*(1+#REF!)^$B77</f>
        <v>#REF!</v>
      </c>
      <c r="J77" s="114" t="e">
        <f t="shared" si="0"/>
        <v>#REF!</v>
      </c>
      <c r="K77" s="114" t="e">
        <f>IF($I77&lt;#REF!,0,1)</f>
        <v>#REF!</v>
      </c>
      <c r="L77" s="114" t="e">
        <f t="shared" si="1"/>
        <v>#REF!</v>
      </c>
    </row>
    <row r="78" spans="2:12" x14ac:dyDescent="0.5">
      <c r="B78" s="107">
        <v>17</v>
      </c>
      <c r="C78" s="113" t="e">
        <f>#REF!+C77+#REF!*(1+#REF!)^$B78</f>
        <v>#REF!</v>
      </c>
      <c r="D78" s="113"/>
      <c r="E78" s="113" t="e">
        <f>#REF!+E77+#REF!*(1+#REF!)^$B78</f>
        <v>#REF!</v>
      </c>
      <c r="F78" s="113" t="e">
        <f>#REF!+F77+#REF!*(1+#REF!)^$B78</f>
        <v>#REF!</v>
      </c>
      <c r="G78" s="113" t="e">
        <f>#REF!+G77+#REF!*(1+#REF!)^$B78</f>
        <v>#REF!</v>
      </c>
      <c r="H78" s="113" t="e">
        <f>#REF!+H77+#REF!*(1+#REF!)^$B78</f>
        <v>#REF!</v>
      </c>
      <c r="I78" s="113" t="e">
        <f>#REF!+I77+#REF!*(1+#REF!)^$B78</f>
        <v>#REF!</v>
      </c>
      <c r="J78" s="114" t="e">
        <f t="shared" si="0"/>
        <v>#REF!</v>
      </c>
      <c r="K78" s="114" t="e">
        <f>IF($I78&lt;#REF!,0,1)</f>
        <v>#REF!</v>
      </c>
      <c r="L78" s="114" t="e">
        <f t="shared" si="1"/>
        <v>#REF!</v>
      </c>
    </row>
    <row r="79" spans="2:12" x14ac:dyDescent="0.5">
      <c r="B79" s="107">
        <v>18</v>
      </c>
      <c r="C79" s="113" t="e">
        <f>#REF!+C78+#REF!*(1+#REF!)^$B79</f>
        <v>#REF!</v>
      </c>
      <c r="D79" s="113"/>
      <c r="E79" s="113" t="e">
        <f>#REF!+E78+#REF!*(1+#REF!)^$B79</f>
        <v>#REF!</v>
      </c>
      <c r="F79" s="113" t="e">
        <f>#REF!+F78+#REF!*(1+#REF!)^$B79</f>
        <v>#REF!</v>
      </c>
      <c r="G79" s="113" t="e">
        <f>#REF!+G78+#REF!*(1+#REF!)^$B79</f>
        <v>#REF!</v>
      </c>
      <c r="H79" s="113" t="e">
        <f>#REF!+H78+#REF!*(1+#REF!)^$B79</f>
        <v>#REF!</v>
      </c>
      <c r="I79" s="113" t="e">
        <f>#REF!+I78+#REF!*(1+#REF!)^$B79</f>
        <v>#REF!</v>
      </c>
      <c r="J79" s="114" t="e">
        <f t="shared" si="0"/>
        <v>#REF!</v>
      </c>
      <c r="K79" s="114" t="e">
        <f>IF($I79&lt;#REF!,0,1)</f>
        <v>#REF!</v>
      </c>
      <c r="L79" s="114" t="e">
        <f t="shared" si="1"/>
        <v>#REF!</v>
      </c>
    </row>
    <row r="80" spans="2:12" x14ac:dyDescent="0.5">
      <c r="B80" s="107">
        <v>19</v>
      </c>
      <c r="C80" s="113" t="e">
        <f>#REF!+C79+#REF!*(1+#REF!)^$B80</f>
        <v>#REF!</v>
      </c>
      <c r="D80" s="113"/>
      <c r="E80" s="113" t="e">
        <f>#REF!+E79+#REF!*(1+#REF!)^$B80</f>
        <v>#REF!</v>
      </c>
      <c r="F80" s="113" t="e">
        <f>#REF!+F79+#REF!*(1+#REF!)^$B80</f>
        <v>#REF!</v>
      </c>
      <c r="G80" s="113" t="e">
        <f>#REF!+G79+#REF!*(1+#REF!)^$B80</f>
        <v>#REF!</v>
      </c>
      <c r="H80" s="113" t="e">
        <f>#REF!+H79+#REF!*(1+#REF!)^$B80</f>
        <v>#REF!</v>
      </c>
      <c r="I80" s="113" t="e">
        <f>#REF!+I79+#REF!*(1+#REF!)^$B80</f>
        <v>#REF!</v>
      </c>
      <c r="J80" s="114" t="e">
        <f t="shared" si="0"/>
        <v>#REF!</v>
      </c>
      <c r="K80" s="114" t="e">
        <f>IF($I80&lt;#REF!,0,1)</f>
        <v>#REF!</v>
      </c>
      <c r="L80" s="114" t="e">
        <f t="shared" si="1"/>
        <v>#REF!</v>
      </c>
    </row>
    <row r="81" spans="1:12" x14ac:dyDescent="0.5">
      <c r="B81" s="107">
        <v>20</v>
      </c>
      <c r="C81" s="113" t="e">
        <f>#REF!+C80+#REF!*(1+#REF!)^$B81</f>
        <v>#REF!</v>
      </c>
      <c r="D81" s="113"/>
      <c r="E81" s="113" t="e">
        <f>#REF!+E80+#REF!*(1+#REF!)^$B81</f>
        <v>#REF!</v>
      </c>
      <c r="F81" s="113" t="e">
        <f>#REF!+F80+#REF!*(1+#REF!)^$B81</f>
        <v>#REF!</v>
      </c>
      <c r="G81" s="113" t="e">
        <f>#REF!+G80+#REF!*(1+#REF!)^$B81</f>
        <v>#REF!</v>
      </c>
      <c r="H81" s="113" t="e">
        <f>#REF!+H80+#REF!*(1+#REF!)^$B81</f>
        <v>#REF!</v>
      </c>
      <c r="I81" s="113" t="e">
        <f>#REF!+I80+#REF!*(1+#REF!)^$B81</f>
        <v>#REF!</v>
      </c>
      <c r="J81" s="114" t="e">
        <f t="shared" si="0"/>
        <v>#REF!</v>
      </c>
      <c r="K81" s="114" t="e">
        <f>IF($I81&lt;#REF!,0,1)</f>
        <v>#REF!</v>
      </c>
      <c r="L81" s="114" t="e">
        <f t="shared" si="1"/>
        <v>#REF!</v>
      </c>
    </row>
    <row r="82" spans="1:12" s="18" customFormat="1" ht="22.5" customHeight="1" x14ac:dyDescent="0.5">
      <c r="A82" s="4"/>
      <c r="B82" s="107">
        <v>21</v>
      </c>
      <c r="C82" s="113" t="e">
        <f>#REF!+C81+#REF!*(1+#REF!)^$B82</f>
        <v>#REF!</v>
      </c>
      <c r="D82" s="113"/>
      <c r="E82" s="113" t="e">
        <f>#REF!+E81+#REF!*(1+#REF!)^$B82</f>
        <v>#REF!</v>
      </c>
      <c r="F82" s="113" t="e">
        <f>#REF!+F81+#REF!*(1+#REF!)^$B82</f>
        <v>#REF!</v>
      </c>
      <c r="G82" s="113" t="e">
        <f>#REF!+G81+#REF!*(1+#REF!)^$B82</f>
        <v>#REF!</v>
      </c>
      <c r="H82" s="113" t="e">
        <f>#REF!+H81+#REF!*(1+#REF!)^$B82</f>
        <v>#REF!</v>
      </c>
      <c r="I82" s="113" t="e">
        <f>#REF!+I81+#REF!*(1+#REF!)^$B82</f>
        <v>#REF!</v>
      </c>
      <c r="J82" s="114" t="e">
        <f t="shared" si="0"/>
        <v>#REF!</v>
      </c>
      <c r="K82" s="114" t="e">
        <f>IF($I82&lt;#REF!,0,1)</f>
        <v>#REF!</v>
      </c>
      <c r="L82" s="114" t="e">
        <f t="shared" si="1"/>
        <v>#REF!</v>
      </c>
    </row>
    <row r="83" spans="1:12" x14ac:dyDescent="0.5">
      <c r="B83" s="107">
        <v>22</v>
      </c>
      <c r="C83" s="113" t="e">
        <f>#REF!+C82+#REF!*(1+#REF!)^$B83</f>
        <v>#REF!</v>
      </c>
      <c r="D83" s="113"/>
      <c r="E83" s="113" t="e">
        <f>#REF!+E82+#REF!*(1+#REF!)^$B83</f>
        <v>#REF!</v>
      </c>
      <c r="F83" s="113" t="e">
        <f>#REF!+F82+#REF!*(1+#REF!)^$B83</f>
        <v>#REF!</v>
      </c>
      <c r="G83" s="113" t="e">
        <f>#REF!+G82+#REF!*(1+#REF!)^$B83</f>
        <v>#REF!</v>
      </c>
      <c r="H83" s="113" t="e">
        <f>#REF!+H82+#REF!*(1+#REF!)^$B83</f>
        <v>#REF!</v>
      </c>
      <c r="I83" s="113" t="e">
        <f>#REF!+I82+#REF!*(1+#REF!)^$B83</f>
        <v>#REF!</v>
      </c>
      <c r="J83" s="114" t="e">
        <f t="shared" si="0"/>
        <v>#REF!</v>
      </c>
      <c r="K83" s="114" t="e">
        <f>IF($I83&lt;#REF!,0,1)</f>
        <v>#REF!</v>
      </c>
      <c r="L83" s="114" t="e">
        <f t="shared" si="1"/>
        <v>#REF!</v>
      </c>
    </row>
    <row r="84" spans="1:12" x14ac:dyDescent="0.5">
      <c r="B84" s="107">
        <v>23</v>
      </c>
      <c r="C84" s="113" t="e">
        <f>#REF!+C83+#REF!*(1+#REF!)^$B84</f>
        <v>#REF!</v>
      </c>
      <c r="D84" s="113"/>
      <c r="E84" s="113" t="e">
        <f>#REF!+E83+#REF!*(1+#REF!)^$B84</f>
        <v>#REF!</v>
      </c>
      <c r="F84" s="113" t="e">
        <f>#REF!+F83+#REF!*(1+#REF!)^$B84</f>
        <v>#REF!</v>
      </c>
      <c r="G84" s="113" t="e">
        <f>#REF!+G83+#REF!*(1+#REF!)^$B84</f>
        <v>#REF!</v>
      </c>
      <c r="H84" s="113" t="e">
        <f>#REF!+H83+#REF!*(1+#REF!)^$B84</f>
        <v>#REF!</v>
      </c>
      <c r="I84" s="113" t="e">
        <f>#REF!+I83+#REF!*(1+#REF!)^$B84</f>
        <v>#REF!</v>
      </c>
      <c r="J84" s="114" t="e">
        <f t="shared" si="0"/>
        <v>#REF!</v>
      </c>
      <c r="K84" s="114" t="e">
        <f>IF($I84&lt;#REF!,0,1)</f>
        <v>#REF!</v>
      </c>
      <c r="L84" s="114" t="e">
        <f t="shared" si="1"/>
        <v>#REF!</v>
      </c>
    </row>
    <row r="85" spans="1:12" ht="20.25" customHeight="1" x14ac:dyDescent="0.5">
      <c r="B85" s="107">
        <v>24</v>
      </c>
      <c r="C85" s="113" t="e">
        <f>#REF!+C84+#REF!*(1+#REF!)^$B85</f>
        <v>#REF!</v>
      </c>
      <c r="D85" s="113"/>
      <c r="E85" s="113" t="e">
        <f>#REF!+E84+#REF!*(1+#REF!)^$B85</f>
        <v>#REF!</v>
      </c>
      <c r="F85" s="113" t="e">
        <f>#REF!+F84+#REF!*(1+#REF!)^$B85</f>
        <v>#REF!</v>
      </c>
      <c r="G85" s="113" t="e">
        <f>#REF!+G84+#REF!*(1+#REF!)^$B85</f>
        <v>#REF!</v>
      </c>
      <c r="H85" s="113" t="e">
        <f>#REF!+H84+#REF!*(1+#REF!)^$B85</f>
        <v>#REF!</v>
      </c>
      <c r="I85" s="113" t="e">
        <f>#REF!+I84+#REF!*(1+#REF!)^$B85</f>
        <v>#REF!</v>
      </c>
      <c r="J85" s="114" t="e">
        <f t="shared" si="0"/>
        <v>#REF!</v>
      </c>
      <c r="K85" s="114" t="e">
        <f>IF($I85&lt;#REF!,0,1)</f>
        <v>#REF!</v>
      </c>
      <c r="L85" s="114" t="e">
        <f t="shared" si="1"/>
        <v>#REF!</v>
      </c>
    </row>
    <row r="86" spans="1:12" ht="22.5" customHeight="1" x14ac:dyDescent="0.5">
      <c r="B86" s="107">
        <v>25</v>
      </c>
      <c r="C86" s="113" t="e">
        <f>#REF!+C85+#REF!*(1+#REF!)^$B86</f>
        <v>#REF!</v>
      </c>
      <c r="D86" s="113"/>
      <c r="E86" s="113" t="e">
        <f>#REF!+E85+#REF!*(1+#REF!)^$B86</f>
        <v>#REF!</v>
      </c>
      <c r="F86" s="113" t="e">
        <f>#REF!+F85+#REF!*(1+#REF!)^$B86</f>
        <v>#REF!</v>
      </c>
      <c r="G86" s="113" t="e">
        <f>#REF!+G85+#REF!*(1+#REF!)^$B86</f>
        <v>#REF!</v>
      </c>
      <c r="H86" s="113" t="e">
        <f>#REF!+H85+#REF!*(1+#REF!)^$B86</f>
        <v>#REF!</v>
      </c>
      <c r="I86" s="113" t="e">
        <f>#REF!+I85+#REF!*(1+#REF!)^$B86</f>
        <v>#REF!</v>
      </c>
      <c r="J86" s="106" t="e">
        <f t="shared" si="0"/>
        <v>#REF!</v>
      </c>
      <c r="K86" s="106" t="e">
        <f>IF($I86&lt;#REF!,0,1)</f>
        <v>#REF!</v>
      </c>
      <c r="L86" s="106" t="e">
        <f t="shared" si="1"/>
        <v>#REF!</v>
      </c>
    </row>
    <row r="87" spans="1:12" x14ac:dyDescent="0.5">
      <c r="B87" s="107"/>
      <c r="C87" s="107"/>
      <c r="D87" s="107"/>
      <c r="E87" s="107"/>
      <c r="F87" s="106"/>
      <c r="G87" s="107"/>
      <c r="H87" s="107"/>
      <c r="I87" s="107"/>
      <c r="J87" s="107"/>
      <c r="K87" s="107"/>
      <c r="L87" s="107"/>
    </row>
    <row r="88" spans="1:12" x14ac:dyDescent="0.5">
      <c r="B88" s="107"/>
      <c r="C88" s="107"/>
      <c r="D88" s="107"/>
      <c r="E88" s="107"/>
      <c r="F88" s="106"/>
      <c r="G88" s="106"/>
      <c r="H88" s="106"/>
      <c r="I88" s="106"/>
      <c r="J88" s="106"/>
      <c r="K88" s="106"/>
      <c r="L88" s="106"/>
    </row>
    <row r="89" spans="1:12" ht="51.6" x14ac:dyDescent="0.5">
      <c r="B89" s="107"/>
      <c r="C89" s="111" t="s">
        <v>42</v>
      </c>
      <c r="D89" s="111"/>
      <c r="E89" s="111" t="s">
        <v>47</v>
      </c>
      <c r="F89" s="111" t="s">
        <v>61</v>
      </c>
      <c r="G89" s="111" t="s">
        <v>51</v>
      </c>
      <c r="H89" s="111" t="s">
        <v>56</v>
      </c>
      <c r="I89" s="116"/>
      <c r="J89" s="106"/>
      <c r="K89" s="106"/>
      <c r="L89" s="106"/>
    </row>
    <row r="90" spans="1:12" x14ac:dyDescent="0.5">
      <c r="B90" s="107"/>
      <c r="C90" s="117" t="e">
        <f>SUM(J62:J86)</f>
        <v>#REF!</v>
      </c>
      <c r="D90" s="117"/>
      <c r="E90" s="117" t="e">
        <f>SUM(L62:L86)</f>
        <v>#REF!</v>
      </c>
      <c r="F90" s="117" t="e">
        <f>SUM(N146:N170)</f>
        <v>#REF!</v>
      </c>
      <c r="G90" s="117" t="e">
        <f>SUM(M146:M170)</f>
        <v>#REF!</v>
      </c>
      <c r="H90" s="117" t="e">
        <f>SUM(O146:O170)</f>
        <v>#REF!</v>
      </c>
      <c r="I90" s="116"/>
      <c r="J90" s="106"/>
      <c r="K90" s="106"/>
      <c r="L90" s="106"/>
    </row>
    <row r="91" spans="1:12" x14ac:dyDescent="0.5">
      <c r="B91" s="107"/>
      <c r="C91" s="114" t="e">
        <f t="shared" ref="C91:H91" si="2">IF(C90=0,1,C90)</f>
        <v>#REF!</v>
      </c>
      <c r="D91" s="114"/>
      <c r="E91" s="114" t="e">
        <f t="shared" si="2"/>
        <v>#REF!</v>
      </c>
      <c r="F91" s="114" t="e">
        <f t="shared" si="2"/>
        <v>#REF!</v>
      </c>
      <c r="G91" s="114" t="e">
        <f t="shared" si="2"/>
        <v>#REF!</v>
      </c>
      <c r="H91" s="114" t="e">
        <f t="shared" si="2"/>
        <v>#REF!</v>
      </c>
      <c r="I91" s="106"/>
      <c r="J91" s="106"/>
      <c r="K91" s="106"/>
      <c r="L91" s="106"/>
    </row>
    <row r="92" spans="1:12" x14ac:dyDescent="0.5">
      <c r="B92" s="107"/>
      <c r="C92" s="118" t="e">
        <f t="shared" ref="C92:H92" si="3">IF(C91=0,1,1/C91)</f>
        <v>#REF!</v>
      </c>
      <c r="D92" s="118"/>
      <c r="E92" s="118" t="e">
        <f t="shared" si="3"/>
        <v>#REF!</v>
      </c>
      <c r="F92" s="118" t="e">
        <f t="shared" si="3"/>
        <v>#REF!</v>
      </c>
      <c r="G92" s="118" t="e">
        <f t="shared" si="3"/>
        <v>#REF!</v>
      </c>
      <c r="H92" s="118" t="e">
        <f t="shared" si="3"/>
        <v>#REF!</v>
      </c>
      <c r="I92" s="106"/>
      <c r="J92" s="106"/>
      <c r="K92" s="106"/>
      <c r="L92" s="106"/>
    </row>
    <row r="93" spans="1:12" x14ac:dyDescent="0.5">
      <c r="B93" s="107"/>
      <c r="C93" s="107"/>
      <c r="D93" s="107"/>
      <c r="E93" s="107"/>
      <c r="F93" s="106"/>
      <c r="G93" s="106"/>
      <c r="H93" s="106"/>
      <c r="I93" s="106"/>
      <c r="J93" s="106"/>
      <c r="K93" s="106"/>
      <c r="L93" s="106"/>
    </row>
    <row r="94" spans="1:12" x14ac:dyDescent="0.5">
      <c r="B94" s="107"/>
      <c r="C94" s="107"/>
      <c r="D94" s="107"/>
      <c r="E94" s="107"/>
      <c r="F94" s="106"/>
      <c r="G94" s="106"/>
      <c r="H94" s="106"/>
      <c r="I94" s="106"/>
      <c r="J94" s="106"/>
      <c r="K94" s="106"/>
      <c r="L94" s="106"/>
    </row>
    <row r="95" spans="1:12" x14ac:dyDescent="0.5">
      <c r="B95" s="107"/>
      <c r="C95" s="119"/>
      <c r="D95" s="119"/>
      <c r="E95" s="107"/>
      <c r="F95" s="106"/>
      <c r="G95" s="107"/>
      <c r="H95" s="106"/>
      <c r="I95" s="106"/>
      <c r="J95" s="106"/>
      <c r="K95" s="106"/>
      <c r="L95" s="106"/>
    </row>
    <row r="96" spans="1:12" x14ac:dyDescent="0.5">
      <c r="B96" s="107"/>
      <c r="C96" s="107"/>
      <c r="D96" s="107"/>
      <c r="E96" s="107"/>
      <c r="F96" s="106"/>
      <c r="G96" s="106"/>
      <c r="H96" s="106"/>
      <c r="I96" s="106"/>
      <c r="J96" s="106"/>
      <c r="K96" s="106"/>
      <c r="L96" s="106"/>
    </row>
    <row r="97" spans="1:12" ht="14.25" hidden="1" customHeight="1" x14ac:dyDescent="0.5">
      <c r="B97" s="107"/>
      <c r="C97" s="107"/>
      <c r="D97" s="107"/>
      <c r="E97" s="107"/>
      <c r="F97" s="106"/>
      <c r="G97" s="106"/>
      <c r="H97" s="106"/>
      <c r="I97" s="106"/>
      <c r="J97" s="106"/>
      <c r="K97" s="106"/>
      <c r="L97" s="106"/>
    </row>
    <row r="98" spans="1:12" x14ac:dyDescent="0.5">
      <c r="B98" s="107"/>
      <c r="C98" s="116" t="s">
        <v>42</v>
      </c>
      <c r="D98" s="116"/>
      <c r="E98" s="116" t="s">
        <v>47</v>
      </c>
      <c r="F98" s="116" t="s">
        <v>62</v>
      </c>
      <c r="G98" s="116" t="s">
        <v>51</v>
      </c>
      <c r="H98" s="116" t="s">
        <v>56</v>
      </c>
      <c r="I98" s="116" t="s">
        <v>57</v>
      </c>
      <c r="J98" s="106"/>
      <c r="K98" s="106"/>
      <c r="L98" s="106"/>
    </row>
    <row r="99" spans="1:12" x14ac:dyDescent="0.5">
      <c r="B99" s="107" t="s">
        <v>34</v>
      </c>
      <c r="C99" s="113" t="e">
        <f>#REF!*#REF!+#REF!/#REF!*#REF!</f>
        <v>#REF!</v>
      </c>
      <c r="D99" s="113"/>
      <c r="E99" s="113" t="e">
        <f>#REF!*#REF!+#REF!/#REF!*#REF!</f>
        <v>#REF!</v>
      </c>
      <c r="F99" s="113" t="e">
        <f>#REF!*#REF!+#REF!/#REF!*#REF!</f>
        <v>#REF!</v>
      </c>
      <c r="G99" s="113" t="e">
        <f>#REF!*#REF!+#REF!/#REF!*#REF!</f>
        <v>#REF!</v>
      </c>
      <c r="H99" s="113" t="e">
        <f>#REF!*#REF!+#REF!/#REF!*#REF!</f>
        <v>#REF!</v>
      </c>
      <c r="I99" s="113" t="e">
        <f>#REF!*#REF!+#REF!*#REF!</f>
        <v>#REF!</v>
      </c>
      <c r="J99" s="106"/>
      <c r="K99" s="106"/>
      <c r="L99" s="106"/>
    </row>
    <row r="100" spans="1:12" x14ac:dyDescent="0.5">
      <c r="B100" s="107"/>
      <c r="C100" s="120" t="e">
        <f>C99/$I$99</f>
        <v>#REF!</v>
      </c>
      <c r="D100" s="120"/>
      <c r="E100" s="120" t="e">
        <f>E99/$I$99</f>
        <v>#REF!</v>
      </c>
      <c r="F100" s="120" t="e">
        <f>F99/$I$99</f>
        <v>#REF!</v>
      </c>
      <c r="G100" s="120" t="e">
        <f>G99/$I$99</f>
        <v>#REF!</v>
      </c>
      <c r="H100" s="120" t="e">
        <f>H99/$I$99</f>
        <v>#REF!</v>
      </c>
      <c r="I100" s="120" t="e">
        <f>I99/$I$99</f>
        <v>#REF!</v>
      </c>
      <c r="J100" s="106"/>
      <c r="K100" s="106"/>
      <c r="L100" s="106"/>
    </row>
    <row r="101" spans="1:12" x14ac:dyDescent="0.5">
      <c r="B101" s="107"/>
      <c r="C101" s="107"/>
      <c r="D101" s="107"/>
      <c r="E101" s="107"/>
      <c r="F101" s="107"/>
      <c r="G101" s="107"/>
      <c r="H101" s="107"/>
      <c r="I101" s="107"/>
      <c r="J101" s="106"/>
      <c r="K101" s="106"/>
      <c r="L101" s="106"/>
    </row>
    <row r="102" spans="1:12" x14ac:dyDescent="0.5">
      <c r="B102" s="107"/>
      <c r="C102" s="107"/>
      <c r="D102" s="107"/>
      <c r="E102" s="107"/>
      <c r="F102" s="106"/>
      <c r="G102" s="106"/>
      <c r="H102" s="106"/>
      <c r="I102" s="106"/>
      <c r="J102" s="106"/>
      <c r="K102" s="106"/>
      <c r="L102" s="106"/>
    </row>
    <row r="103" spans="1:12" x14ac:dyDescent="0.5">
      <c r="B103" s="107"/>
      <c r="C103" s="107"/>
      <c r="D103" s="107"/>
      <c r="E103" s="107"/>
      <c r="F103" s="106"/>
      <c r="G103" s="106"/>
      <c r="H103" s="106"/>
      <c r="I103" s="106"/>
      <c r="J103" s="106"/>
      <c r="K103" s="106"/>
      <c r="L103" s="106"/>
    </row>
    <row r="104" spans="1:12" x14ac:dyDescent="0.5">
      <c r="B104" s="107"/>
      <c r="C104" s="116" t="s">
        <v>42</v>
      </c>
      <c r="D104" s="116"/>
      <c r="E104" s="116" t="s">
        <v>47</v>
      </c>
      <c r="F104" s="116" t="s">
        <v>62</v>
      </c>
      <c r="G104" s="116" t="s">
        <v>51</v>
      </c>
      <c r="H104" s="116" t="s">
        <v>56</v>
      </c>
      <c r="I104" s="116" t="s">
        <v>57</v>
      </c>
      <c r="J104" s="106"/>
      <c r="K104" s="106"/>
      <c r="L104" s="106"/>
    </row>
    <row r="105" spans="1:12" hidden="1" x14ac:dyDescent="0.5">
      <c r="B105" s="107" t="s">
        <v>35</v>
      </c>
      <c r="C105" s="113" t="e">
        <f>#REF!*#REF!+#REF!/#REF!*#REF!</f>
        <v>#REF!</v>
      </c>
      <c r="D105" s="113"/>
      <c r="E105" s="113" t="e">
        <f>#REF!*#REF!+#REF!/#REF!*#REF!</f>
        <v>#REF!</v>
      </c>
      <c r="F105" s="113" t="e">
        <f>#REF!*#REF!+#REF!/#REF!*#REF!</f>
        <v>#REF!</v>
      </c>
      <c r="G105" s="113" t="e">
        <f>#REF!*#REF!+#REF!/#REF!*#REF!</f>
        <v>#REF!</v>
      </c>
      <c r="H105" s="113" t="e">
        <f>#REF!*#REF!+#REF!/#REF!*#REF!</f>
        <v>#REF!</v>
      </c>
      <c r="I105" s="113" t="e">
        <f>#REF!*#REF!+#REF!/#REF!*#REF!</f>
        <v>#REF!</v>
      </c>
      <c r="J105" s="106"/>
      <c r="K105" s="106"/>
      <c r="L105" s="106"/>
    </row>
    <row r="106" spans="1:12" hidden="1" x14ac:dyDescent="0.5">
      <c r="B106" s="107"/>
      <c r="C106" s="120" t="e">
        <f>C105/#REF!</f>
        <v>#REF!</v>
      </c>
      <c r="D106" s="120"/>
      <c r="E106" s="120" t="e">
        <f>E105/#REF!</f>
        <v>#REF!</v>
      </c>
      <c r="F106" s="120" t="e">
        <f>F105/#REF!</f>
        <v>#REF!</v>
      </c>
      <c r="G106" s="120" t="e">
        <f>G105/#REF!</f>
        <v>#REF!</v>
      </c>
      <c r="H106" s="120" t="e">
        <f>H105/#REF!</f>
        <v>#REF!</v>
      </c>
      <c r="I106" s="120" t="e">
        <f>I105/#REF!</f>
        <v>#REF!</v>
      </c>
      <c r="J106" s="106"/>
      <c r="K106" s="106"/>
      <c r="L106" s="106"/>
    </row>
    <row r="107" spans="1:12" hidden="1" x14ac:dyDescent="0.5">
      <c r="A107" s="107"/>
      <c r="B107" s="107"/>
      <c r="C107" s="107"/>
      <c r="D107" s="107"/>
      <c r="E107" s="107"/>
      <c r="F107" s="107"/>
      <c r="G107" s="107"/>
      <c r="H107" s="107"/>
      <c r="I107" s="107"/>
      <c r="J107" s="106"/>
      <c r="K107" s="106"/>
      <c r="L107" s="106"/>
    </row>
    <row r="108" spans="1:12" hidden="1" x14ac:dyDescent="0.5">
      <c r="A108" s="107"/>
      <c r="B108" s="107"/>
      <c r="C108" s="107"/>
      <c r="D108" s="107"/>
      <c r="E108" s="107"/>
      <c r="F108" s="106"/>
      <c r="G108" s="106"/>
      <c r="H108" s="106"/>
      <c r="I108" s="106"/>
      <c r="J108" s="106"/>
      <c r="K108" s="106"/>
      <c r="L108" s="106"/>
    </row>
    <row r="109" spans="1:12" x14ac:dyDescent="0.5">
      <c r="A109" s="107"/>
      <c r="B109" s="107"/>
      <c r="C109" s="107"/>
      <c r="D109" s="107"/>
      <c r="E109" s="107"/>
      <c r="F109" s="106"/>
      <c r="G109" s="106"/>
      <c r="H109" s="106"/>
      <c r="I109" s="106"/>
      <c r="J109" s="106"/>
      <c r="K109" s="106"/>
      <c r="L109" s="106"/>
    </row>
    <row r="110" spans="1:12" x14ac:dyDescent="0.5">
      <c r="A110" s="107"/>
      <c r="B110" s="107"/>
      <c r="C110" s="116" t="s">
        <v>52</v>
      </c>
      <c r="D110" s="116"/>
      <c r="E110" s="116" t="s">
        <v>47</v>
      </c>
      <c r="F110" s="116" t="s">
        <v>62</v>
      </c>
      <c r="G110" s="116" t="s">
        <v>51</v>
      </c>
      <c r="H110" s="116" t="s">
        <v>56</v>
      </c>
      <c r="I110" s="116" t="s">
        <v>57</v>
      </c>
      <c r="J110" s="106"/>
      <c r="K110" s="106"/>
      <c r="L110" s="106"/>
    </row>
    <row r="111" spans="1:12" x14ac:dyDescent="0.5">
      <c r="A111" s="107"/>
      <c r="B111" s="107" t="s">
        <v>44</v>
      </c>
      <c r="C111" s="121" t="e">
        <f>#REF!*#REF!</f>
        <v>#REF!</v>
      </c>
      <c r="D111" s="121"/>
      <c r="E111" s="118">
        <v>0</v>
      </c>
      <c r="F111" s="118">
        <v>0.18</v>
      </c>
      <c r="G111" s="121" t="e">
        <f>#REF!*#REF!</f>
        <v>#REF!</v>
      </c>
      <c r="H111" s="122" t="e">
        <f>(1-1/#REF!)</f>
        <v>#REF!</v>
      </c>
      <c r="I111" s="122" t="e">
        <f>(1-1/#REF!)</f>
        <v>#REF!</v>
      </c>
      <c r="J111" s="106"/>
      <c r="K111" s="106"/>
      <c r="L111" s="106"/>
    </row>
    <row r="112" spans="1:12" x14ac:dyDescent="0.5">
      <c r="A112" s="107"/>
      <c r="B112" s="107"/>
      <c r="C112" s="113" t="e">
        <f>C111*#REF!</f>
        <v>#REF!</v>
      </c>
      <c r="D112" s="113"/>
      <c r="E112" s="113" t="e">
        <f>E111*#REF!</f>
        <v>#REF!</v>
      </c>
      <c r="F112" s="113" t="e">
        <f>F111*#REF!</f>
        <v>#REF!</v>
      </c>
      <c r="G112" s="113" t="e">
        <f>G111*#REF!</f>
        <v>#REF!</v>
      </c>
      <c r="H112" s="113" t="e">
        <f>H111*#REF!</f>
        <v>#REF!</v>
      </c>
      <c r="I112" s="113" t="e">
        <f>I111*#REF!</f>
        <v>#REF!</v>
      </c>
      <c r="J112" s="106"/>
      <c r="K112" s="106"/>
      <c r="L112" s="106"/>
    </row>
    <row r="113" spans="1:12" x14ac:dyDescent="0.5">
      <c r="A113" s="107"/>
      <c r="B113" s="107" t="s">
        <v>65</v>
      </c>
      <c r="C113" s="123" t="e">
        <f>#REF!/C112</f>
        <v>#REF!</v>
      </c>
      <c r="D113" s="123"/>
      <c r="E113" s="123"/>
      <c r="F113" s="123" t="e">
        <f>#REF!/F112</f>
        <v>#REF!</v>
      </c>
      <c r="G113" s="123" t="e">
        <f>#REF!/G112</f>
        <v>#REF!</v>
      </c>
      <c r="H113" s="123" t="e">
        <f>#REF!/H112</f>
        <v>#REF!</v>
      </c>
      <c r="I113" s="123" t="e">
        <f>#REF!/I112</f>
        <v>#REF!</v>
      </c>
      <c r="J113" s="106"/>
      <c r="K113" s="106"/>
      <c r="L113" s="106"/>
    </row>
    <row r="114" spans="1:12" x14ac:dyDescent="0.5">
      <c r="A114" s="107"/>
      <c r="B114" s="107"/>
      <c r="C114" s="107"/>
      <c r="D114" s="107"/>
      <c r="E114" s="107"/>
      <c r="F114" s="106"/>
      <c r="G114" s="106"/>
      <c r="H114" s="106"/>
      <c r="I114" s="106"/>
      <c r="J114" s="106"/>
      <c r="K114" s="106"/>
      <c r="L114" s="106"/>
    </row>
    <row r="115" spans="1:12" x14ac:dyDescent="0.5">
      <c r="A115" s="107"/>
      <c r="B115" s="107"/>
      <c r="C115" s="107"/>
      <c r="D115" s="107"/>
      <c r="E115" s="107"/>
      <c r="F115" s="106"/>
      <c r="G115" s="106"/>
      <c r="H115" s="106"/>
      <c r="I115" s="106"/>
      <c r="J115" s="106"/>
      <c r="K115" s="106"/>
      <c r="L115" s="106"/>
    </row>
    <row r="116" spans="1:12" x14ac:dyDescent="0.5">
      <c r="A116" s="107"/>
      <c r="B116" s="107"/>
      <c r="C116" s="107"/>
      <c r="D116" s="107"/>
      <c r="E116" s="107"/>
      <c r="F116" s="106"/>
      <c r="G116" s="106"/>
      <c r="H116" s="106"/>
      <c r="I116" s="106"/>
      <c r="J116" s="106"/>
      <c r="K116" s="106"/>
      <c r="L116" s="106"/>
    </row>
    <row r="117" spans="1:12" x14ac:dyDescent="0.5">
      <c r="A117" s="107"/>
      <c r="B117" s="117"/>
      <c r="C117" s="107"/>
      <c r="D117" s="107"/>
      <c r="E117" s="107"/>
      <c r="F117" s="106"/>
      <c r="G117" s="106"/>
      <c r="H117" s="106"/>
      <c r="I117" s="106"/>
      <c r="J117" s="106"/>
      <c r="K117" s="106"/>
      <c r="L117" s="106"/>
    </row>
    <row r="118" spans="1:12" x14ac:dyDescent="0.5">
      <c r="A118" s="107"/>
      <c r="B118" s="107"/>
      <c r="C118" s="116"/>
      <c r="D118" s="116"/>
      <c r="E118" s="116"/>
      <c r="F118" s="116"/>
      <c r="G118" s="116"/>
      <c r="H118" s="116"/>
      <c r="I118" s="116"/>
      <c r="J118" s="106"/>
      <c r="K118" s="106"/>
      <c r="L118" s="106"/>
    </row>
    <row r="119" spans="1:12" x14ac:dyDescent="0.5">
      <c r="A119" s="107"/>
      <c r="B119" s="107"/>
      <c r="C119" s="108"/>
      <c r="D119" s="108"/>
      <c r="E119" s="108"/>
      <c r="F119" s="108"/>
      <c r="G119" s="108"/>
      <c r="H119" s="108"/>
      <c r="I119" s="108"/>
      <c r="J119" s="106"/>
      <c r="K119" s="106"/>
      <c r="L119" s="106"/>
    </row>
    <row r="120" spans="1:12" x14ac:dyDescent="0.5">
      <c r="A120" s="107"/>
      <c r="B120" s="107"/>
      <c r="C120" s="113"/>
      <c r="D120" s="113"/>
      <c r="E120" s="113"/>
      <c r="F120" s="113"/>
      <c r="G120" s="113"/>
      <c r="H120" s="113"/>
      <c r="I120" s="113"/>
      <c r="J120" s="106"/>
      <c r="K120" s="106"/>
      <c r="L120" s="106"/>
    </row>
    <row r="121" spans="1:12" x14ac:dyDescent="0.5">
      <c r="A121" s="107"/>
      <c r="B121" s="107"/>
      <c r="C121" s="113"/>
      <c r="D121" s="113"/>
      <c r="E121" s="113"/>
      <c r="F121" s="113"/>
      <c r="G121" s="113"/>
      <c r="H121" s="113"/>
      <c r="I121" s="113"/>
      <c r="J121" s="106"/>
      <c r="K121" s="106"/>
      <c r="L121" s="106"/>
    </row>
    <row r="122" spans="1:12" x14ac:dyDescent="0.5">
      <c r="A122" s="107"/>
      <c r="B122" s="107"/>
      <c r="C122" s="113"/>
      <c r="D122" s="113"/>
      <c r="E122" s="113"/>
      <c r="F122" s="113"/>
      <c r="G122" s="113"/>
      <c r="H122" s="113"/>
      <c r="I122" s="113"/>
      <c r="J122" s="106"/>
      <c r="K122" s="106"/>
      <c r="L122" s="106"/>
    </row>
    <row r="123" spans="1:12" x14ac:dyDescent="0.5">
      <c r="A123" s="107"/>
      <c r="B123" s="107"/>
      <c r="C123" s="113"/>
      <c r="D123" s="113"/>
      <c r="E123" s="113"/>
      <c r="F123" s="113"/>
      <c r="G123" s="113"/>
      <c r="H123" s="113"/>
      <c r="I123" s="113"/>
      <c r="J123" s="106"/>
      <c r="K123" s="106"/>
      <c r="L123" s="106"/>
    </row>
    <row r="124" spans="1:12" x14ac:dyDescent="0.5">
      <c r="A124" s="107"/>
      <c r="B124" s="107"/>
      <c r="C124" s="113"/>
      <c r="D124" s="113"/>
      <c r="E124" s="113"/>
      <c r="F124" s="113"/>
      <c r="G124" s="113"/>
      <c r="H124" s="113"/>
      <c r="I124" s="113"/>
      <c r="J124" s="106"/>
      <c r="K124" s="106"/>
      <c r="L124" s="106"/>
    </row>
    <row r="125" spans="1:12" x14ac:dyDescent="0.5">
      <c r="A125" s="107"/>
      <c r="B125" s="107"/>
      <c r="C125" s="113"/>
      <c r="D125" s="113"/>
      <c r="E125" s="113"/>
      <c r="F125" s="113"/>
      <c r="G125" s="113"/>
      <c r="H125" s="113"/>
      <c r="I125" s="113"/>
      <c r="J125" s="106"/>
      <c r="K125" s="106"/>
      <c r="L125" s="106"/>
    </row>
    <row r="126" spans="1:12" x14ac:dyDescent="0.5">
      <c r="A126" s="107"/>
      <c r="B126" s="107"/>
      <c r="C126" s="113"/>
      <c r="D126" s="113"/>
      <c r="E126" s="113"/>
      <c r="F126" s="113"/>
      <c r="G126" s="113"/>
      <c r="H126" s="113"/>
      <c r="I126" s="113"/>
      <c r="J126" s="106"/>
      <c r="K126" s="106"/>
      <c r="L126" s="106"/>
    </row>
    <row r="127" spans="1:12" x14ac:dyDescent="0.5">
      <c r="A127" s="107"/>
      <c r="B127" s="107"/>
      <c r="C127" s="113"/>
      <c r="D127" s="113"/>
      <c r="E127" s="113"/>
      <c r="F127" s="113"/>
      <c r="G127" s="113"/>
      <c r="H127" s="113"/>
      <c r="I127" s="113"/>
      <c r="J127" s="106"/>
      <c r="K127" s="106"/>
      <c r="L127" s="106"/>
    </row>
    <row r="128" spans="1:12" x14ac:dyDescent="0.5">
      <c r="A128" s="107"/>
      <c r="B128" s="107"/>
      <c r="C128" s="113"/>
      <c r="D128" s="113"/>
      <c r="E128" s="113"/>
      <c r="F128" s="113"/>
      <c r="G128" s="113"/>
      <c r="H128" s="113"/>
      <c r="I128" s="113"/>
      <c r="J128" s="106"/>
      <c r="K128" s="106"/>
      <c r="L128" s="106"/>
    </row>
    <row r="129" spans="1:18" x14ac:dyDescent="0.5">
      <c r="A129" s="107"/>
      <c r="B129" s="107"/>
      <c r="C129" s="113"/>
      <c r="D129" s="113"/>
      <c r="E129" s="113"/>
      <c r="F129" s="113"/>
      <c r="G129" s="113"/>
      <c r="H129" s="113"/>
      <c r="I129" s="113"/>
      <c r="J129" s="106"/>
      <c r="K129" s="106"/>
      <c r="L129" s="106"/>
    </row>
    <row r="130" spans="1:18" x14ac:dyDescent="0.5">
      <c r="A130" s="107"/>
      <c r="B130" s="107"/>
      <c r="C130" s="113"/>
      <c r="D130" s="113"/>
      <c r="E130" s="113"/>
      <c r="F130" s="113"/>
      <c r="G130" s="113"/>
      <c r="H130" s="113"/>
      <c r="I130" s="113"/>
      <c r="J130" s="106"/>
      <c r="K130" s="106"/>
      <c r="L130" s="106"/>
    </row>
    <row r="131" spans="1:18" x14ac:dyDescent="0.5">
      <c r="A131" s="107"/>
      <c r="B131" s="107"/>
      <c r="C131" s="113"/>
      <c r="D131" s="113"/>
      <c r="E131" s="113"/>
      <c r="F131" s="113"/>
      <c r="G131" s="113"/>
      <c r="H131" s="113"/>
      <c r="I131" s="113"/>
      <c r="J131" s="106"/>
      <c r="K131" s="106"/>
      <c r="L131" s="106"/>
    </row>
    <row r="132" spans="1:18" x14ac:dyDescent="0.5">
      <c r="A132" s="107"/>
      <c r="B132" s="107"/>
      <c r="C132" s="113"/>
      <c r="D132" s="113"/>
      <c r="E132" s="113"/>
      <c r="F132" s="113"/>
      <c r="G132" s="113"/>
      <c r="H132" s="113"/>
      <c r="I132" s="113"/>
      <c r="J132" s="106"/>
      <c r="K132" s="106"/>
      <c r="L132" s="106"/>
    </row>
    <row r="133" spans="1:18" x14ac:dyDescent="0.5">
      <c r="A133" s="107"/>
      <c r="B133" s="107"/>
      <c r="C133" s="113"/>
      <c r="D133" s="113"/>
      <c r="E133" s="113"/>
      <c r="F133" s="113"/>
      <c r="G133" s="113"/>
      <c r="H133" s="113"/>
      <c r="I133" s="113"/>
      <c r="J133" s="106"/>
      <c r="K133" s="106"/>
      <c r="L133" s="106"/>
    </row>
    <row r="134" spans="1:18" x14ac:dyDescent="0.5">
      <c r="A134" s="107"/>
      <c r="B134" s="107"/>
      <c r="C134" s="113"/>
      <c r="D134" s="113"/>
      <c r="E134" s="113"/>
      <c r="F134" s="113"/>
      <c r="G134" s="113"/>
      <c r="H134" s="113"/>
      <c r="I134" s="113"/>
      <c r="J134" s="106"/>
      <c r="K134" s="106"/>
      <c r="L134" s="106"/>
    </row>
    <row r="135" spans="1:18" x14ac:dyDescent="0.5">
      <c r="A135" s="107"/>
      <c r="B135" s="107"/>
      <c r="C135" s="113"/>
      <c r="D135" s="113"/>
      <c r="E135" s="113"/>
      <c r="F135" s="113"/>
      <c r="G135" s="113"/>
      <c r="H135" s="113"/>
      <c r="I135" s="113"/>
      <c r="J135" s="106"/>
      <c r="K135" s="106"/>
      <c r="L135" s="106"/>
    </row>
    <row r="136" spans="1:18" x14ac:dyDescent="0.5">
      <c r="A136" s="107"/>
      <c r="B136" s="107"/>
      <c r="C136" s="113"/>
      <c r="D136" s="113"/>
      <c r="E136" s="113"/>
      <c r="F136" s="113"/>
      <c r="G136" s="113"/>
      <c r="H136" s="113"/>
      <c r="I136" s="113"/>
      <c r="J136" s="106"/>
      <c r="K136" s="106"/>
      <c r="L136" s="106"/>
    </row>
    <row r="137" spans="1:18" x14ac:dyDescent="0.5">
      <c r="A137" s="107"/>
      <c r="B137" s="107"/>
      <c r="C137" s="113"/>
      <c r="D137" s="113"/>
      <c r="E137" s="113"/>
      <c r="F137" s="113"/>
      <c r="G137" s="113"/>
      <c r="H137" s="113"/>
      <c r="I137" s="113"/>
      <c r="J137" s="106"/>
      <c r="K137" s="106"/>
      <c r="L137" s="106"/>
    </row>
    <row r="138" spans="1:18" x14ac:dyDescent="0.5">
      <c r="A138" s="107"/>
      <c r="B138" s="107"/>
      <c r="C138" s="113"/>
      <c r="D138" s="113"/>
      <c r="E138" s="113"/>
      <c r="F138" s="113"/>
      <c r="G138" s="113"/>
      <c r="H138" s="113"/>
      <c r="I138" s="113"/>
      <c r="J138" s="106"/>
      <c r="K138" s="106"/>
      <c r="L138" s="106"/>
    </row>
    <row r="139" spans="1:18" x14ac:dyDescent="0.5">
      <c r="A139" s="107"/>
      <c r="B139" s="107"/>
      <c r="C139" s="113"/>
      <c r="D139" s="113"/>
      <c r="E139" s="113"/>
      <c r="F139" s="113"/>
      <c r="G139" s="113"/>
      <c r="H139" s="113"/>
      <c r="I139" s="113"/>
      <c r="J139" s="106"/>
      <c r="K139" s="106"/>
      <c r="L139" s="106"/>
    </row>
    <row r="140" spans="1:18" x14ac:dyDescent="0.5">
      <c r="A140" s="107"/>
      <c r="B140" s="107"/>
      <c r="C140" s="113"/>
      <c r="D140" s="113"/>
      <c r="E140" s="113"/>
      <c r="F140" s="113"/>
      <c r="G140" s="113"/>
      <c r="H140" s="113"/>
      <c r="I140" s="113"/>
      <c r="J140" s="106"/>
      <c r="K140" s="106"/>
      <c r="L140" s="106"/>
    </row>
    <row r="141" spans="1:18" x14ac:dyDescent="0.5">
      <c r="C141" s="115"/>
      <c r="D141" s="115"/>
      <c r="E141" s="115"/>
      <c r="F141" s="115"/>
      <c r="G141" s="115"/>
      <c r="H141" s="115"/>
      <c r="I141" s="115"/>
      <c r="J141" s="88"/>
      <c r="K141" s="88"/>
      <c r="L141" s="88"/>
    </row>
    <row r="142" spans="1:18" x14ac:dyDescent="0.5">
      <c r="C142" s="115"/>
      <c r="D142" s="115"/>
      <c r="E142" s="115"/>
      <c r="F142" s="115"/>
      <c r="G142" s="115"/>
      <c r="H142" s="115"/>
      <c r="I142" s="115"/>
      <c r="J142" s="88"/>
      <c r="K142" s="88"/>
      <c r="L142" s="88"/>
    </row>
    <row r="143" spans="1:18" s="107" customFormat="1" x14ac:dyDescent="0.5">
      <c r="A143" s="4"/>
      <c r="B143" s="4"/>
      <c r="C143" s="115"/>
      <c r="D143" s="115"/>
      <c r="E143" s="115"/>
      <c r="F143" s="115"/>
      <c r="G143" s="115"/>
      <c r="H143" s="115"/>
      <c r="I143" s="115"/>
      <c r="J143" s="88"/>
      <c r="K143" s="88"/>
      <c r="L143" s="88"/>
      <c r="R143" s="4"/>
    </row>
    <row r="144" spans="1:18" s="107" customFormat="1" x14ac:dyDescent="0.5">
      <c r="A144" s="4"/>
      <c r="B144" s="4"/>
      <c r="C144" s="115"/>
      <c r="D144" s="115"/>
      <c r="E144" s="115"/>
      <c r="F144" s="115"/>
      <c r="G144" s="115"/>
      <c r="H144" s="115"/>
      <c r="I144" s="115"/>
      <c r="J144" s="88"/>
      <c r="K144" s="88"/>
      <c r="L144" s="88"/>
      <c r="M144" s="106"/>
      <c r="R144" s="4"/>
    </row>
    <row r="145" spans="1:18" s="107" customFormat="1" ht="64.5" x14ac:dyDescent="0.5">
      <c r="A145" s="4"/>
      <c r="B145" s="4"/>
      <c r="C145" s="4"/>
      <c r="D145" s="4"/>
      <c r="E145" s="4"/>
      <c r="F145" s="88"/>
      <c r="G145" s="88"/>
      <c r="H145" s="88"/>
      <c r="I145" s="88"/>
      <c r="J145" s="88"/>
      <c r="K145" s="88"/>
      <c r="L145" s="88"/>
      <c r="M145" s="111" t="s">
        <v>55</v>
      </c>
      <c r="N145" s="111" t="s">
        <v>60</v>
      </c>
      <c r="O145" s="111" t="s">
        <v>56</v>
      </c>
      <c r="P145" s="111"/>
      <c r="Q145" s="112"/>
      <c r="R145" s="4"/>
    </row>
    <row r="146" spans="1:18" s="107" customFormat="1" x14ac:dyDescent="0.5">
      <c r="A146" s="4"/>
      <c r="B146" s="18"/>
      <c r="C146" s="4"/>
      <c r="D146" s="4"/>
      <c r="E146" s="4"/>
      <c r="F146" s="88"/>
      <c r="G146" s="88"/>
      <c r="H146" s="88"/>
      <c r="I146" s="88"/>
      <c r="J146" s="88"/>
      <c r="K146" s="88"/>
      <c r="L146" s="88"/>
      <c r="M146" s="114" t="e">
        <f t="shared" ref="M146:M170" si="4">IF($I62&lt;G62,0,1)</f>
        <v>#REF!</v>
      </c>
      <c r="N146" s="114" t="e">
        <f>IF($I62&lt;F62,0,1)</f>
        <v>#REF!</v>
      </c>
      <c r="O146" s="114" t="e">
        <f t="shared" ref="O146:O170" si="5">IF($I62&lt;H62,0,1)</f>
        <v>#REF!</v>
      </c>
      <c r="P146" s="106"/>
      <c r="Q146" s="107">
        <v>1</v>
      </c>
      <c r="R146" s="115" t="e">
        <f>I62-E62</f>
        <v>#REF!</v>
      </c>
    </row>
    <row r="147" spans="1:18" s="107" customFormat="1" x14ac:dyDescent="0.5">
      <c r="A147" s="4"/>
      <c r="B147" s="4"/>
      <c r="C147" s="124"/>
      <c r="D147" s="124"/>
      <c r="E147" s="124"/>
      <c r="F147" s="124"/>
      <c r="G147" s="124"/>
      <c r="H147" s="124"/>
      <c r="I147" s="124"/>
      <c r="J147" s="88"/>
      <c r="K147" s="88"/>
      <c r="L147" s="88"/>
      <c r="M147" s="114" t="e">
        <f t="shared" si="4"/>
        <v>#REF!</v>
      </c>
      <c r="N147" s="114" t="e">
        <f t="shared" ref="N147:N170" si="6">IF($I63&lt;F63,0,1)</f>
        <v>#REF!</v>
      </c>
      <c r="O147" s="114" t="e">
        <f>IF($I63&lt;H63,0,1)</f>
        <v>#REF!</v>
      </c>
      <c r="P147" s="106"/>
      <c r="Q147" s="107">
        <v>2</v>
      </c>
      <c r="R147" s="115" t="e">
        <f t="shared" ref="R147:R165" si="7">I63-E63</f>
        <v>#REF!</v>
      </c>
    </row>
    <row r="148" spans="1:18" s="107" customFormat="1" x14ac:dyDescent="0.5">
      <c r="A148" s="4"/>
      <c r="B148" s="4"/>
      <c r="C148" s="125"/>
      <c r="D148" s="125"/>
      <c r="E148" s="125"/>
      <c r="F148" s="125"/>
      <c r="G148" s="125"/>
      <c r="H148" s="125"/>
      <c r="I148" s="125"/>
      <c r="J148" s="88"/>
      <c r="K148" s="88"/>
      <c r="L148" s="88"/>
      <c r="M148" s="114" t="e">
        <f t="shared" si="4"/>
        <v>#REF!</v>
      </c>
      <c r="N148" s="114" t="e">
        <f t="shared" si="6"/>
        <v>#REF!</v>
      </c>
      <c r="O148" s="114" t="e">
        <f t="shared" si="5"/>
        <v>#REF!</v>
      </c>
      <c r="P148" s="106"/>
      <c r="Q148" s="107">
        <v>3</v>
      </c>
      <c r="R148" s="115" t="e">
        <f t="shared" si="7"/>
        <v>#REF!</v>
      </c>
    </row>
    <row r="149" spans="1:18" s="107" customFormat="1" x14ac:dyDescent="0.5">
      <c r="A149" s="4"/>
      <c r="B149" s="4"/>
      <c r="C149" s="115"/>
      <c r="D149" s="115"/>
      <c r="E149" s="115"/>
      <c r="F149" s="115"/>
      <c r="G149" s="115"/>
      <c r="H149" s="115"/>
      <c r="I149" s="115"/>
      <c r="J149" s="88"/>
      <c r="K149" s="88"/>
      <c r="L149" s="88"/>
      <c r="M149" s="114" t="e">
        <f t="shared" si="4"/>
        <v>#REF!</v>
      </c>
      <c r="N149" s="114" t="e">
        <f t="shared" si="6"/>
        <v>#REF!</v>
      </c>
      <c r="O149" s="114" t="e">
        <f t="shared" si="5"/>
        <v>#REF!</v>
      </c>
      <c r="P149" s="106"/>
      <c r="Q149" s="107">
        <v>4</v>
      </c>
      <c r="R149" s="115" t="e">
        <f t="shared" si="7"/>
        <v>#REF!</v>
      </c>
    </row>
    <row r="150" spans="1:18" s="107" customFormat="1" x14ac:dyDescent="0.5">
      <c r="A150" s="4"/>
      <c r="B150" s="4"/>
      <c r="C150" s="115"/>
      <c r="D150" s="115"/>
      <c r="E150" s="115"/>
      <c r="F150" s="115"/>
      <c r="G150" s="115"/>
      <c r="H150" s="115"/>
      <c r="I150" s="115"/>
      <c r="J150" s="88"/>
      <c r="K150" s="88"/>
      <c r="L150" s="88"/>
      <c r="M150" s="114" t="e">
        <f t="shared" si="4"/>
        <v>#REF!</v>
      </c>
      <c r="N150" s="114" t="e">
        <f t="shared" si="6"/>
        <v>#REF!</v>
      </c>
      <c r="O150" s="114" t="e">
        <f t="shared" si="5"/>
        <v>#REF!</v>
      </c>
      <c r="P150" s="106"/>
      <c r="Q150" s="107">
        <v>5</v>
      </c>
      <c r="R150" s="115" t="e">
        <f t="shared" si="7"/>
        <v>#REF!</v>
      </c>
    </row>
    <row r="151" spans="1:18" s="107" customFormat="1" x14ac:dyDescent="0.5">
      <c r="A151" s="4"/>
      <c r="B151" s="4"/>
      <c r="C151" s="115"/>
      <c r="D151" s="115"/>
      <c r="E151" s="115"/>
      <c r="F151" s="115"/>
      <c r="G151" s="115"/>
      <c r="H151" s="115"/>
      <c r="I151" s="115"/>
      <c r="J151" s="88"/>
      <c r="K151" s="88"/>
      <c r="L151" s="88"/>
      <c r="M151" s="114" t="e">
        <f t="shared" si="4"/>
        <v>#REF!</v>
      </c>
      <c r="N151" s="114" t="e">
        <f t="shared" si="6"/>
        <v>#REF!</v>
      </c>
      <c r="O151" s="114" t="e">
        <f t="shared" si="5"/>
        <v>#REF!</v>
      </c>
      <c r="P151" s="106"/>
      <c r="Q151" s="107">
        <v>6</v>
      </c>
      <c r="R151" s="115" t="e">
        <f t="shared" si="7"/>
        <v>#REF!</v>
      </c>
    </row>
    <row r="152" spans="1:18" s="107" customFormat="1" x14ac:dyDescent="0.5">
      <c r="A152" s="4"/>
      <c r="B152" s="4"/>
      <c r="C152" s="115"/>
      <c r="D152" s="115"/>
      <c r="E152" s="115"/>
      <c r="F152" s="115"/>
      <c r="G152" s="115"/>
      <c r="H152" s="115"/>
      <c r="I152" s="115"/>
      <c r="J152" s="88"/>
      <c r="K152" s="88"/>
      <c r="L152" s="88"/>
      <c r="M152" s="114" t="e">
        <f t="shared" si="4"/>
        <v>#REF!</v>
      </c>
      <c r="N152" s="114" t="e">
        <f t="shared" si="6"/>
        <v>#REF!</v>
      </c>
      <c r="O152" s="114" t="e">
        <f t="shared" si="5"/>
        <v>#REF!</v>
      </c>
      <c r="P152" s="106"/>
      <c r="Q152" s="107">
        <v>7</v>
      </c>
      <c r="R152" s="115" t="e">
        <f t="shared" si="7"/>
        <v>#REF!</v>
      </c>
    </row>
    <row r="153" spans="1:18" s="107" customFormat="1" x14ac:dyDescent="0.5">
      <c r="A153" s="4"/>
      <c r="B153" s="4"/>
      <c r="C153" s="115"/>
      <c r="D153" s="115"/>
      <c r="E153" s="115"/>
      <c r="F153" s="115"/>
      <c r="G153" s="115"/>
      <c r="H153" s="115"/>
      <c r="I153" s="115"/>
      <c r="J153" s="88"/>
      <c r="K153" s="88"/>
      <c r="L153" s="88"/>
      <c r="M153" s="114" t="e">
        <f t="shared" si="4"/>
        <v>#REF!</v>
      </c>
      <c r="N153" s="114" t="e">
        <f t="shared" si="6"/>
        <v>#REF!</v>
      </c>
      <c r="O153" s="114" t="e">
        <f t="shared" si="5"/>
        <v>#REF!</v>
      </c>
      <c r="P153" s="106"/>
      <c r="Q153" s="107">
        <v>8</v>
      </c>
      <c r="R153" s="115" t="e">
        <f t="shared" si="7"/>
        <v>#REF!</v>
      </c>
    </row>
    <row r="154" spans="1:18" s="107" customFormat="1" x14ac:dyDescent="0.5">
      <c r="A154" s="4"/>
      <c r="B154" s="4"/>
      <c r="C154" s="115"/>
      <c r="D154" s="115"/>
      <c r="E154" s="115"/>
      <c r="F154" s="115"/>
      <c r="G154" s="115"/>
      <c r="H154" s="115"/>
      <c r="I154" s="115"/>
      <c r="J154" s="88"/>
      <c r="K154" s="88"/>
      <c r="L154" s="88"/>
      <c r="M154" s="114" t="e">
        <f t="shared" si="4"/>
        <v>#REF!</v>
      </c>
      <c r="N154" s="114" t="e">
        <f t="shared" si="6"/>
        <v>#REF!</v>
      </c>
      <c r="O154" s="114" t="e">
        <f t="shared" si="5"/>
        <v>#REF!</v>
      </c>
      <c r="P154" s="106"/>
      <c r="Q154" s="107">
        <v>9</v>
      </c>
      <c r="R154" s="115" t="e">
        <f t="shared" si="7"/>
        <v>#REF!</v>
      </c>
    </row>
    <row r="155" spans="1:18" s="107" customFormat="1" x14ac:dyDescent="0.5">
      <c r="A155" s="4"/>
      <c r="B155" s="4"/>
      <c r="C155" s="115"/>
      <c r="D155" s="115"/>
      <c r="E155" s="115"/>
      <c r="F155" s="115"/>
      <c r="G155" s="115"/>
      <c r="H155" s="115"/>
      <c r="I155" s="115"/>
      <c r="J155" s="88"/>
      <c r="K155" s="88"/>
      <c r="L155" s="88"/>
      <c r="M155" s="114" t="e">
        <f t="shared" si="4"/>
        <v>#REF!</v>
      </c>
      <c r="N155" s="114" t="e">
        <f t="shared" si="6"/>
        <v>#REF!</v>
      </c>
      <c r="O155" s="114" t="e">
        <f t="shared" si="5"/>
        <v>#REF!</v>
      </c>
      <c r="P155" s="106"/>
      <c r="Q155" s="107">
        <v>10</v>
      </c>
      <c r="R155" s="115" t="e">
        <f t="shared" si="7"/>
        <v>#REF!</v>
      </c>
    </row>
    <row r="156" spans="1:18" s="107" customFormat="1" x14ac:dyDescent="0.5">
      <c r="A156" s="4"/>
      <c r="B156" s="4"/>
      <c r="C156" s="115"/>
      <c r="D156" s="115"/>
      <c r="E156" s="115"/>
      <c r="F156" s="115"/>
      <c r="G156" s="115"/>
      <c r="H156" s="115"/>
      <c r="I156" s="115"/>
      <c r="J156" s="88"/>
      <c r="K156" s="88"/>
      <c r="L156" s="88"/>
      <c r="M156" s="114" t="e">
        <f t="shared" si="4"/>
        <v>#REF!</v>
      </c>
      <c r="N156" s="114" t="e">
        <f t="shared" si="6"/>
        <v>#REF!</v>
      </c>
      <c r="O156" s="114" t="e">
        <f t="shared" si="5"/>
        <v>#REF!</v>
      </c>
      <c r="P156" s="106"/>
      <c r="Q156" s="107">
        <v>11</v>
      </c>
      <c r="R156" s="115" t="e">
        <f t="shared" si="7"/>
        <v>#REF!</v>
      </c>
    </row>
    <row r="157" spans="1:18" s="107" customFormat="1" x14ac:dyDescent="0.5">
      <c r="A157" s="4"/>
      <c r="B157" s="4"/>
      <c r="C157" s="115"/>
      <c r="D157" s="115"/>
      <c r="E157" s="115"/>
      <c r="F157" s="115"/>
      <c r="G157" s="115"/>
      <c r="H157" s="115"/>
      <c r="I157" s="115"/>
      <c r="J157" s="88"/>
      <c r="K157" s="88"/>
      <c r="L157" s="88"/>
      <c r="M157" s="114" t="e">
        <f t="shared" si="4"/>
        <v>#REF!</v>
      </c>
      <c r="N157" s="114" t="e">
        <f t="shared" si="6"/>
        <v>#REF!</v>
      </c>
      <c r="O157" s="114" t="e">
        <f t="shared" si="5"/>
        <v>#REF!</v>
      </c>
      <c r="P157" s="106"/>
      <c r="Q157" s="107">
        <v>12</v>
      </c>
      <c r="R157" s="115" t="e">
        <f t="shared" si="7"/>
        <v>#REF!</v>
      </c>
    </row>
    <row r="158" spans="1:18" s="107" customFormat="1" x14ac:dyDescent="0.5">
      <c r="A158" s="4"/>
      <c r="B158" s="4"/>
      <c r="C158" s="115"/>
      <c r="D158" s="115"/>
      <c r="E158" s="115"/>
      <c r="F158" s="115"/>
      <c r="G158" s="115"/>
      <c r="H158" s="115"/>
      <c r="I158" s="115"/>
      <c r="J158" s="88"/>
      <c r="K158" s="88"/>
      <c r="L158" s="88"/>
      <c r="M158" s="114" t="e">
        <f t="shared" si="4"/>
        <v>#REF!</v>
      </c>
      <c r="N158" s="114" t="e">
        <f t="shared" si="6"/>
        <v>#REF!</v>
      </c>
      <c r="O158" s="114" t="e">
        <f t="shared" si="5"/>
        <v>#REF!</v>
      </c>
      <c r="P158" s="106"/>
      <c r="Q158" s="107">
        <v>13</v>
      </c>
      <c r="R158" s="115" t="e">
        <f t="shared" si="7"/>
        <v>#REF!</v>
      </c>
    </row>
    <row r="159" spans="1:18" s="107" customFormat="1" x14ac:dyDescent="0.5">
      <c r="A159" s="4"/>
      <c r="B159" s="4"/>
      <c r="C159" s="115"/>
      <c r="D159" s="115"/>
      <c r="E159" s="115"/>
      <c r="F159" s="115"/>
      <c r="G159" s="115"/>
      <c r="H159" s="115"/>
      <c r="I159" s="115"/>
      <c r="J159" s="88"/>
      <c r="K159" s="88"/>
      <c r="L159" s="88"/>
      <c r="M159" s="114" t="e">
        <f t="shared" si="4"/>
        <v>#REF!</v>
      </c>
      <c r="N159" s="114" t="e">
        <f t="shared" si="6"/>
        <v>#REF!</v>
      </c>
      <c r="O159" s="114" t="e">
        <f t="shared" si="5"/>
        <v>#REF!</v>
      </c>
      <c r="P159" s="106"/>
      <c r="Q159" s="107">
        <v>14</v>
      </c>
      <c r="R159" s="115" t="e">
        <f t="shared" si="7"/>
        <v>#REF!</v>
      </c>
    </row>
    <row r="160" spans="1:18" s="107" customFormat="1" x14ac:dyDescent="0.5">
      <c r="A160" s="4"/>
      <c r="B160" s="4"/>
      <c r="C160" s="115"/>
      <c r="D160" s="115"/>
      <c r="E160" s="115"/>
      <c r="F160" s="115"/>
      <c r="G160" s="115"/>
      <c r="H160" s="115"/>
      <c r="I160" s="115"/>
      <c r="J160" s="88"/>
      <c r="K160" s="88"/>
      <c r="L160" s="88"/>
      <c r="M160" s="114" t="e">
        <f t="shared" si="4"/>
        <v>#REF!</v>
      </c>
      <c r="N160" s="114" t="e">
        <f t="shared" si="6"/>
        <v>#REF!</v>
      </c>
      <c r="O160" s="114" t="e">
        <f t="shared" si="5"/>
        <v>#REF!</v>
      </c>
      <c r="P160" s="106"/>
      <c r="Q160" s="107">
        <v>15</v>
      </c>
      <c r="R160" s="115" t="e">
        <f t="shared" si="7"/>
        <v>#REF!</v>
      </c>
    </row>
    <row r="161" spans="1:18" s="107" customFormat="1" x14ac:dyDescent="0.5">
      <c r="A161" s="4"/>
      <c r="B161" s="4"/>
      <c r="C161" s="115"/>
      <c r="D161" s="115"/>
      <c r="E161" s="115"/>
      <c r="F161" s="115"/>
      <c r="G161" s="115"/>
      <c r="H161" s="115"/>
      <c r="I161" s="115"/>
      <c r="J161" s="88"/>
      <c r="K161" s="88"/>
      <c r="L161" s="88"/>
      <c r="M161" s="114" t="e">
        <f t="shared" si="4"/>
        <v>#REF!</v>
      </c>
      <c r="N161" s="114" t="e">
        <f t="shared" si="6"/>
        <v>#REF!</v>
      </c>
      <c r="O161" s="114" t="e">
        <f t="shared" si="5"/>
        <v>#REF!</v>
      </c>
      <c r="P161" s="106"/>
      <c r="Q161" s="107">
        <v>16</v>
      </c>
      <c r="R161" s="115" t="e">
        <f t="shared" si="7"/>
        <v>#REF!</v>
      </c>
    </row>
    <row r="162" spans="1:18" s="107" customFormat="1" x14ac:dyDescent="0.5">
      <c r="A162" s="4"/>
      <c r="B162" s="4"/>
      <c r="C162" s="115"/>
      <c r="D162" s="115"/>
      <c r="E162" s="115"/>
      <c r="F162" s="115"/>
      <c r="G162" s="115"/>
      <c r="H162" s="115"/>
      <c r="I162" s="115"/>
      <c r="J162" s="88"/>
      <c r="K162" s="88"/>
      <c r="L162" s="88"/>
      <c r="M162" s="114" t="e">
        <f t="shared" si="4"/>
        <v>#REF!</v>
      </c>
      <c r="N162" s="114" t="e">
        <f t="shared" si="6"/>
        <v>#REF!</v>
      </c>
      <c r="O162" s="114" t="e">
        <f t="shared" si="5"/>
        <v>#REF!</v>
      </c>
      <c r="P162" s="106"/>
      <c r="Q162" s="107">
        <v>17</v>
      </c>
      <c r="R162" s="115" t="e">
        <f t="shared" si="7"/>
        <v>#REF!</v>
      </c>
    </row>
    <row r="163" spans="1:18" s="107" customFormat="1" x14ac:dyDescent="0.5">
      <c r="A163" s="4"/>
      <c r="B163" s="4"/>
      <c r="C163" s="115"/>
      <c r="D163" s="115"/>
      <c r="E163" s="115"/>
      <c r="F163" s="115"/>
      <c r="G163" s="115"/>
      <c r="H163" s="115"/>
      <c r="I163" s="115"/>
      <c r="J163" s="88"/>
      <c r="K163" s="88"/>
      <c r="L163" s="88"/>
      <c r="M163" s="114" t="e">
        <f t="shared" si="4"/>
        <v>#REF!</v>
      </c>
      <c r="N163" s="114" t="e">
        <f t="shared" si="6"/>
        <v>#REF!</v>
      </c>
      <c r="O163" s="114" t="e">
        <f t="shared" si="5"/>
        <v>#REF!</v>
      </c>
      <c r="P163" s="106"/>
      <c r="Q163" s="107">
        <v>18</v>
      </c>
      <c r="R163" s="115" t="e">
        <f t="shared" si="7"/>
        <v>#REF!</v>
      </c>
    </row>
    <row r="164" spans="1:18" s="107" customFormat="1" x14ac:dyDescent="0.5">
      <c r="A164" s="4"/>
      <c r="B164" s="4"/>
      <c r="C164" s="115"/>
      <c r="D164" s="115"/>
      <c r="E164" s="115"/>
      <c r="F164" s="115"/>
      <c r="G164" s="115"/>
      <c r="H164" s="115"/>
      <c r="I164" s="115"/>
      <c r="J164" s="88"/>
      <c r="K164" s="88"/>
      <c r="L164" s="88"/>
      <c r="M164" s="114" t="e">
        <f t="shared" si="4"/>
        <v>#REF!</v>
      </c>
      <c r="N164" s="114" t="e">
        <f t="shared" si="6"/>
        <v>#REF!</v>
      </c>
      <c r="O164" s="114" t="e">
        <f t="shared" si="5"/>
        <v>#REF!</v>
      </c>
      <c r="P164" s="106"/>
      <c r="Q164" s="107">
        <v>19</v>
      </c>
      <c r="R164" s="115" t="e">
        <f t="shared" si="7"/>
        <v>#REF!</v>
      </c>
    </row>
    <row r="165" spans="1:18" s="107" customFormat="1" x14ac:dyDescent="0.5">
      <c r="A165" s="4"/>
      <c r="B165" s="4"/>
      <c r="C165" s="115"/>
      <c r="D165" s="115"/>
      <c r="E165" s="115"/>
      <c r="F165" s="115"/>
      <c r="G165" s="115"/>
      <c r="H165" s="115"/>
      <c r="I165" s="115"/>
      <c r="J165" s="88"/>
      <c r="K165" s="88"/>
      <c r="L165" s="88"/>
      <c r="M165" s="114" t="e">
        <f t="shared" si="4"/>
        <v>#REF!</v>
      </c>
      <c r="N165" s="114" t="e">
        <f t="shared" si="6"/>
        <v>#REF!</v>
      </c>
      <c r="O165" s="114" t="e">
        <f t="shared" si="5"/>
        <v>#REF!</v>
      </c>
      <c r="P165" s="106"/>
      <c r="Q165" s="107">
        <v>20</v>
      </c>
      <c r="R165" s="115" t="e">
        <f t="shared" si="7"/>
        <v>#REF!</v>
      </c>
    </row>
    <row r="166" spans="1:18" s="107" customFormat="1" x14ac:dyDescent="0.5">
      <c r="A166" s="4"/>
      <c r="B166" s="4"/>
      <c r="C166" s="115"/>
      <c r="D166" s="115"/>
      <c r="E166" s="115"/>
      <c r="F166" s="115"/>
      <c r="G166" s="115"/>
      <c r="H166" s="115"/>
      <c r="I166" s="115"/>
      <c r="J166" s="88"/>
      <c r="K166" s="88"/>
      <c r="L166" s="88"/>
      <c r="M166" s="114" t="e">
        <f t="shared" si="4"/>
        <v>#REF!</v>
      </c>
      <c r="N166" s="114" t="e">
        <f t="shared" si="6"/>
        <v>#REF!</v>
      </c>
      <c r="O166" s="114" t="e">
        <f t="shared" si="5"/>
        <v>#REF!</v>
      </c>
      <c r="P166" s="106"/>
      <c r="R166" s="4"/>
    </row>
    <row r="167" spans="1:18" s="107" customFormat="1" x14ac:dyDescent="0.5">
      <c r="A167" s="4"/>
      <c r="B167" s="4"/>
      <c r="C167" s="115"/>
      <c r="D167" s="115"/>
      <c r="E167" s="115"/>
      <c r="F167" s="115"/>
      <c r="G167" s="115"/>
      <c r="H167" s="115"/>
      <c r="I167" s="115"/>
      <c r="J167" s="88"/>
      <c r="K167" s="88"/>
      <c r="L167" s="88"/>
      <c r="M167" s="114" t="e">
        <f t="shared" si="4"/>
        <v>#REF!</v>
      </c>
      <c r="N167" s="114" t="e">
        <f t="shared" si="6"/>
        <v>#REF!</v>
      </c>
      <c r="O167" s="114" t="e">
        <f t="shared" si="5"/>
        <v>#REF!</v>
      </c>
      <c r="P167" s="106"/>
      <c r="R167" s="4"/>
    </row>
    <row r="168" spans="1:18" s="107" customFormat="1" x14ac:dyDescent="0.5">
      <c r="A168" s="4"/>
      <c r="B168" s="4"/>
      <c r="C168" s="115"/>
      <c r="D168" s="115"/>
      <c r="E168" s="115"/>
      <c r="F168" s="115"/>
      <c r="G168" s="115"/>
      <c r="H168" s="115"/>
      <c r="I168" s="115"/>
      <c r="J168" s="88"/>
      <c r="K168" s="88"/>
      <c r="L168" s="88"/>
      <c r="M168" s="114" t="e">
        <f t="shared" si="4"/>
        <v>#REF!</v>
      </c>
      <c r="N168" s="114" t="e">
        <f t="shared" si="6"/>
        <v>#REF!</v>
      </c>
      <c r="O168" s="114" t="e">
        <f t="shared" si="5"/>
        <v>#REF!</v>
      </c>
      <c r="P168" s="106"/>
      <c r="R168" s="4"/>
    </row>
    <row r="169" spans="1:18" s="107" customFormat="1" x14ac:dyDescent="0.5">
      <c r="A169" s="4"/>
      <c r="B169" s="4"/>
      <c r="C169" s="115"/>
      <c r="D169" s="115"/>
      <c r="E169" s="115"/>
      <c r="F169" s="115"/>
      <c r="G169" s="115"/>
      <c r="H169" s="115"/>
      <c r="I169" s="115"/>
      <c r="J169" s="88"/>
      <c r="K169" s="88"/>
      <c r="L169" s="88"/>
      <c r="M169" s="114" t="e">
        <f t="shared" si="4"/>
        <v>#REF!</v>
      </c>
      <c r="N169" s="114" t="e">
        <f t="shared" si="6"/>
        <v>#REF!</v>
      </c>
      <c r="O169" s="114" t="e">
        <f t="shared" si="5"/>
        <v>#REF!</v>
      </c>
      <c r="P169" s="106"/>
      <c r="R169" s="4"/>
    </row>
    <row r="170" spans="1:18" s="107" customFormat="1" x14ac:dyDescent="0.5">
      <c r="A170" s="4"/>
      <c r="B170" s="4"/>
      <c r="C170" s="115"/>
      <c r="D170" s="115"/>
      <c r="E170" s="115"/>
      <c r="F170" s="115"/>
      <c r="G170" s="115"/>
      <c r="H170" s="115"/>
      <c r="I170" s="115"/>
      <c r="J170" s="88"/>
      <c r="K170" s="88"/>
      <c r="L170" s="88"/>
      <c r="M170" s="106" t="e">
        <f t="shared" si="4"/>
        <v>#REF!</v>
      </c>
      <c r="N170" s="114" t="e">
        <f t="shared" si="6"/>
        <v>#REF!</v>
      </c>
      <c r="O170" s="106" t="e">
        <f t="shared" si="5"/>
        <v>#REF!</v>
      </c>
      <c r="P170" s="106"/>
      <c r="R170" s="4"/>
    </row>
    <row r="171" spans="1:18" s="107" customFormat="1" x14ac:dyDescent="0.5">
      <c r="A171" s="4"/>
      <c r="B171" s="4"/>
      <c r="C171" s="115"/>
      <c r="D171" s="115"/>
      <c r="E171" s="115"/>
      <c r="F171" s="115"/>
      <c r="G171" s="115"/>
      <c r="H171" s="115"/>
      <c r="I171" s="115"/>
      <c r="J171" s="88"/>
      <c r="K171" s="88"/>
      <c r="L171" s="88"/>
      <c r="P171" s="107">
        <f>SUM(P146:P170)</f>
        <v>0</v>
      </c>
      <c r="R171" s="4"/>
    </row>
    <row r="172" spans="1:18" s="107" customFormat="1" x14ac:dyDescent="0.5">
      <c r="A172" s="4"/>
      <c r="B172" s="4"/>
      <c r="C172" s="115"/>
      <c r="D172" s="115"/>
      <c r="E172" s="115"/>
      <c r="F172" s="115"/>
      <c r="G172" s="115"/>
      <c r="H172" s="115"/>
      <c r="I172" s="115"/>
      <c r="J172" s="88"/>
      <c r="K172" s="88"/>
      <c r="L172" s="88"/>
      <c r="R172" s="4"/>
    </row>
    <row r="173" spans="1:18" s="107" customFormat="1" x14ac:dyDescent="0.5">
      <c r="A173" s="4"/>
      <c r="B173" s="4"/>
      <c r="C173" s="115"/>
      <c r="D173" s="115"/>
      <c r="E173" s="115"/>
      <c r="F173" s="115"/>
      <c r="G173" s="115"/>
      <c r="H173" s="115"/>
      <c r="I173" s="115"/>
      <c r="J173" s="88"/>
      <c r="K173" s="88"/>
      <c r="L173" s="88"/>
    </row>
    <row r="174" spans="1:18" s="107" customFormat="1" x14ac:dyDescent="0.5">
      <c r="A174" s="4"/>
      <c r="B174" s="4"/>
      <c r="C174" s="4"/>
      <c r="D174" s="4"/>
      <c r="E174" s="4"/>
      <c r="F174" s="88"/>
      <c r="G174" s="88"/>
      <c r="H174" s="88"/>
      <c r="I174" s="88"/>
      <c r="J174" s="88"/>
      <c r="K174" s="88"/>
      <c r="L174" s="88"/>
    </row>
    <row r="175" spans="1:18" s="107" customFormat="1" x14ac:dyDescent="0.5">
      <c r="A175" s="4"/>
      <c r="B175" s="18"/>
      <c r="C175" s="4"/>
      <c r="D175" s="4"/>
      <c r="E175" s="4"/>
      <c r="F175" s="88"/>
      <c r="G175" s="88"/>
      <c r="H175" s="88"/>
      <c r="I175" s="88"/>
      <c r="J175" s="88"/>
      <c r="K175" s="88"/>
      <c r="L175" s="88"/>
    </row>
    <row r="176" spans="1:18" s="107" customFormat="1" x14ac:dyDescent="0.5">
      <c r="A176" s="4"/>
      <c r="B176" s="4"/>
      <c r="C176" s="124"/>
      <c r="D176" s="124"/>
      <c r="E176" s="124"/>
      <c r="F176" s="124"/>
      <c r="G176" s="124"/>
      <c r="H176" s="124"/>
      <c r="I176" s="124"/>
      <c r="J176" s="88"/>
      <c r="K176" s="88"/>
      <c r="L176" s="88"/>
    </row>
    <row r="177" spans="3:17" x14ac:dyDescent="0.5">
      <c r="C177" s="125"/>
      <c r="D177" s="125"/>
      <c r="E177" s="125"/>
      <c r="F177" s="125"/>
      <c r="G177" s="125"/>
      <c r="H177" s="125"/>
      <c r="I177" s="125"/>
      <c r="J177" s="88"/>
      <c r="K177" s="88"/>
      <c r="L177" s="88"/>
      <c r="M177" s="107"/>
      <c r="N177" s="107"/>
      <c r="O177" s="107"/>
      <c r="P177" s="107"/>
      <c r="Q177" s="107"/>
    </row>
    <row r="178" spans="3:17" x14ac:dyDescent="0.5">
      <c r="C178" s="115"/>
      <c r="D178" s="115"/>
      <c r="E178" s="115"/>
      <c r="F178" s="115"/>
      <c r="G178" s="115"/>
      <c r="H178" s="115"/>
      <c r="I178" s="115"/>
      <c r="J178" s="88"/>
      <c r="K178" s="88"/>
      <c r="L178" s="88"/>
      <c r="M178" s="107"/>
      <c r="N178" s="107"/>
      <c r="O178" s="107"/>
      <c r="P178" s="107"/>
      <c r="Q178" s="107"/>
    </row>
    <row r="179" spans="3:17" x14ac:dyDescent="0.5">
      <c r="C179" s="115"/>
      <c r="D179" s="115"/>
      <c r="E179" s="115"/>
      <c r="F179" s="115"/>
      <c r="G179" s="115"/>
      <c r="H179" s="115"/>
      <c r="I179" s="115"/>
      <c r="J179" s="88"/>
      <c r="K179" s="88"/>
      <c r="L179" s="88"/>
      <c r="M179" s="107"/>
      <c r="N179" s="107"/>
      <c r="O179" s="107"/>
      <c r="P179" s="107"/>
      <c r="Q179" s="107"/>
    </row>
    <row r="180" spans="3:17" x14ac:dyDescent="0.5">
      <c r="C180" s="115"/>
      <c r="D180" s="115"/>
      <c r="E180" s="115"/>
      <c r="F180" s="115"/>
      <c r="G180" s="115"/>
      <c r="H180" s="115"/>
      <c r="I180" s="115"/>
      <c r="J180" s="88"/>
      <c r="K180" s="88"/>
      <c r="L180" s="88"/>
      <c r="M180" s="107"/>
      <c r="N180" s="107"/>
      <c r="O180" s="107"/>
      <c r="P180" s="107"/>
      <c r="Q180" s="107"/>
    </row>
    <row r="181" spans="3:17" x14ac:dyDescent="0.5">
      <c r="C181" s="115"/>
      <c r="D181" s="115"/>
      <c r="E181" s="115"/>
      <c r="F181" s="115"/>
      <c r="G181" s="115"/>
      <c r="H181" s="115"/>
      <c r="I181" s="115"/>
      <c r="J181" s="88"/>
      <c r="K181" s="88"/>
      <c r="L181" s="88"/>
      <c r="M181" s="107"/>
      <c r="N181" s="107"/>
      <c r="O181" s="107"/>
      <c r="P181" s="107"/>
      <c r="Q181" s="107"/>
    </row>
    <row r="182" spans="3:17" x14ac:dyDescent="0.5">
      <c r="C182" s="115"/>
      <c r="D182" s="115"/>
      <c r="E182" s="115"/>
      <c r="F182" s="115"/>
      <c r="G182" s="115"/>
      <c r="H182" s="115"/>
      <c r="I182" s="115"/>
      <c r="J182" s="88"/>
      <c r="K182" s="88"/>
      <c r="L182" s="88"/>
      <c r="M182" s="107"/>
      <c r="N182" s="107"/>
      <c r="O182" s="107"/>
      <c r="P182" s="107"/>
      <c r="Q182" s="107"/>
    </row>
    <row r="183" spans="3:17" x14ac:dyDescent="0.5">
      <c r="C183" s="115"/>
      <c r="D183" s="115"/>
      <c r="E183" s="115"/>
      <c r="F183" s="115"/>
      <c r="G183" s="115"/>
      <c r="H183" s="115"/>
      <c r="I183" s="115"/>
      <c r="J183" s="88"/>
      <c r="K183" s="88"/>
      <c r="L183" s="88"/>
      <c r="M183" s="107"/>
      <c r="N183" s="107"/>
      <c r="O183" s="107"/>
      <c r="P183" s="107"/>
      <c r="Q183" s="107"/>
    </row>
    <row r="184" spans="3:17" x14ac:dyDescent="0.5">
      <c r="C184" s="115"/>
      <c r="D184" s="115"/>
      <c r="E184" s="115"/>
      <c r="F184" s="115"/>
      <c r="G184" s="115"/>
      <c r="H184" s="115"/>
      <c r="I184" s="115"/>
      <c r="J184" s="88"/>
      <c r="K184" s="88"/>
      <c r="L184" s="88"/>
      <c r="M184" s="107"/>
      <c r="N184" s="107"/>
      <c r="O184" s="107"/>
      <c r="P184" s="107"/>
      <c r="Q184" s="107"/>
    </row>
    <row r="185" spans="3:17" x14ac:dyDescent="0.5">
      <c r="C185" s="115"/>
      <c r="D185" s="115"/>
      <c r="E185" s="115"/>
      <c r="F185" s="115"/>
      <c r="G185" s="115"/>
      <c r="H185" s="115"/>
      <c r="I185" s="115"/>
      <c r="J185" s="88"/>
      <c r="K185" s="88"/>
      <c r="L185" s="88"/>
      <c r="M185" s="107"/>
      <c r="N185" s="107"/>
      <c r="O185" s="107"/>
      <c r="P185" s="107"/>
      <c r="Q185" s="107"/>
    </row>
    <row r="186" spans="3:17" x14ac:dyDescent="0.5">
      <c r="C186" s="115"/>
      <c r="D186" s="115"/>
      <c r="E186" s="115"/>
      <c r="F186" s="115"/>
      <c r="G186" s="115"/>
      <c r="H186" s="115"/>
      <c r="I186" s="115"/>
      <c r="J186" s="88"/>
      <c r="K186" s="88"/>
      <c r="L186" s="88"/>
      <c r="M186" s="107"/>
      <c r="N186" s="107"/>
      <c r="O186" s="107"/>
      <c r="P186" s="107"/>
      <c r="Q186" s="107"/>
    </row>
    <row r="187" spans="3:17" x14ac:dyDescent="0.5">
      <c r="C187" s="115"/>
      <c r="D187" s="115"/>
      <c r="E187" s="115"/>
      <c r="F187" s="115"/>
      <c r="G187" s="115"/>
      <c r="H187" s="115"/>
      <c r="I187" s="115"/>
      <c r="J187" s="88"/>
      <c r="K187" s="88"/>
      <c r="L187" s="88"/>
      <c r="M187" s="107"/>
      <c r="N187" s="107"/>
      <c r="O187" s="107"/>
      <c r="P187" s="107"/>
      <c r="Q187" s="107"/>
    </row>
    <row r="188" spans="3:17" x14ac:dyDescent="0.5">
      <c r="C188" s="115"/>
      <c r="D188" s="115"/>
      <c r="E188" s="115"/>
      <c r="F188" s="115"/>
      <c r="G188" s="115"/>
      <c r="H188" s="115"/>
      <c r="I188" s="115"/>
      <c r="J188" s="88"/>
      <c r="K188" s="88"/>
      <c r="L188" s="88"/>
      <c r="M188" s="107"/>
      <c r="N188" s="107"/>
      <c r="O188" s="107"/>
      <c r="P188" s="107"/>
      <c r="Q188" s="107"/>
    </row>
    <row r="189" spans="3:17" x14ac:dyDescent="0.5">
      <c r="C189" s="115"/>
      <c r="D189" s="115"/>
      <c r="E189" s="115"/>
      <c r="F189" s="115"/>
      <c r="G189" s="115"/>
      <c r="H189" s="115"/>
      <c r="I189" s="115"/>
      <c r="J189" s="88"/>
      <c r="K189" s="88"/>
      <c r="L189" s="88"/>
      <c r="M189" s="107"/>
      <c r="N189" s="107"/>
      <c r="O189" s="107"/>
      <c r="P189" s="107"/>
      <c r="Q189" s="107"/>
    </row>
    <row r="190" spans="3:17" x14ac:dyDescent="0.5">
      <c r="C190" s="115"/>
      <c r="D190" s="115"/>
      <c r="E190" s="115"/>
      <c r="F190" s="115"/>
      <c r="G190" s="115"/>
      <c r="H190" s="115"/>
      <c r="I190" s="115"/>
      <c r="J190" s="88"/>
      <c r="K190" s="88"/>
      <c r="L190" s="88"/>
      <c r="M190" s="107"/>
      <c r="N190" s="107"/>
      <c r="O190" s="107"/>
      <c r="P190" s="107"/>
      <c r="Q190" s="107"/>
    </row>
    <row r="191" spans="3:17" x14ac:dyDescent="0.5">
      <c r="C191" s="115"/>
      <c r="D191" s="115"/>
      <c r="E191" s="115"/>
      <c r="F191" s="115"/>
      <c r="G191" s="115"/>
      <c r="H191" s="115"/>
      <c r="I191" s="115"/>
      <c r="J191" s="88"/>
      <c r="K191" s="88"/>
      <c r="L191" s="88"/>
      <c r="M191" s="107"/>
      <c r="N191" s="107"/>
      <c r="O191" s="107"/>
      <c r="P191" s="107"/>
      <c r="Q191" s="107"/>
    </row>
    <row r="192" spans="3:17" x14ac:dyDescent="0.5">
      <c r="C192" s="115"/>
      <c r="D192" s="115"/>
      <c r="E192" s="115"/>
      <c r="F192" s="115"/>
      <c r="G192" s="115"/>
      <c r="H192" s="115"/>
      <c r="I192" s="115"/>
      <c r="J192" s="88"/>
      <c r="K192" s="88"/>
      <c r="L192" s="88"/>
      <c r="M192" s="107"/>
      <c r="N192" s="107"/>
      <c r="O192" s="107"/>
      <c r="P192" s="107"/>
      <c r="Q192" s="107"/>
    </row>
    <row r="193" spans="2:17" x14ac:dyDescent="0.5">
      <c r="C193" s="115"/>
      <c r="D193" s="115"/>
      <c r="E193" s="115"/>
      <c r="F193" s="115"/>
      <c r="G193" s="115"/>
      <c r="H193" s="115"/>
      <c r="I193" s="115"/>
      <c r="J193" s="88"/>
      <c r="K193" s="88"/>
      <c r="L193" s="88"/>
      <c r="M193" s="107"/>
      <c r="N193" s="107"/>
      <c r="O193" s="107"/>
      <c r="P193" s="107"/>
      <c r="Q193" s="107"/>
    </row>
    <row r="194" spans="2:17" x14ac:dyDescent="0.5">
      <c r="C194" s="115"/>
      <c r="D194" s="115"/>
      <c r="E194" s="115"/>
      <c r="F194" s="115"/>
      <c r="G194" s="115"/>
      <c r="H194" s="115"/>
      <c r="I194" s="115"/>
      <c r="J194" s="88"/>
      <c r="K194" s="88"/>
      <c r="L194" s="88"/>
      <c r="M194" s="107"/>
      <c r="N194" s="107"/>
      <c r="O194" s="107"/>
      <c r="P194" s="107"/>
      <c r="Q194" s="107"/>
    </row>
    <row r="195" spans="2:17" x14ac:dyDescent="0.5">
      <c r="C195" s="115"/>
      <c r="D195" s="115"/>
      <c r="E195" s="115"/>
      <c r="F195" s="115"/>
      <c r="G195" s="115"/>
      <c r="H195" s="115"/>
      <c r="I195" s="115"/>
      <c r="J195" s="88"/>
      <c r="K195" s="88"/>
      <c r="L195" s="88"/>
      <c r="M195" s="107"/>
      <c r="N195" s="107"/>
      <c r="O195" s="107"/>
      <c r="P195" s="107"/>
      <c r="Q195" s="107"/>
    </row>
    <row r="196" spans="2:17" x14ac:dyDescent="0.5">
      <c r="C196" s="115"/>
      <c r="D196" s="115"/>
      <c r="E196" s="115"/>
      <c r="F196" s="115"/>
      <c r="G196" s="115"/>
      <c r="H196" s="115"/>
      <c r="I196" s="115"/>
      <c r="J196" s="88"/>
      <c r="K196" s="88"/>
      <c r="L196" s="88"/>
      <c r="M196" s="107"/>
      <c r="N196" s="107"/>
      <c r="O196" s="107"/>
      <c r="P196" s="107"/>
      <c r="Q196" s="107"/>
    </row>
    <row r="197" spans="2:17" x14ac:dyDescent="0.5">
      <c r="C197" s="115"/>
      <c r="D197" s="115"/>
      <c r="E197" s="115"/>
      <c r="F197" s="115"/>
      <c r="G197" s="115"/>
      <c r="H197" s="115"/>
      <c r="I197" s="115"/>
      <c r="J197" s="88"/>
      <c r="K197" s="88"/>
      <c r="L197" s="88"/>
      <c r="M197" s="107"/>
      <c r="N197" s="107"/>
      <c r="O197" s="107"/>
      <c r="P197" s="107"/>
      <c r="Q197" s="107"/>
    </row>
    <row r="198" spans="2:17" x14ac:dyDescent="0.5">
      <c r="C198" s="115"/>
      <c r="D198" s="115"/>
      <c r="E198" s="115"/>
      <c r="F198" s="115"/>
      <c r="G198" s="115"/>
      <c r="H198" s="115"/>
      <c r="I198" s="115"/>
      <c r="J198" s="88"/>
      <c r="K198" s="88"/>
      <c r="L198" s="88"/>
      <c r="M198" s="107"/>
      <c r="N198" s="107"/>
      <c r="O198" s="107"/>
      <c r="P198" s="107"/>
      <c r="Q198" s="107"/>
    </row>
    <row r="199" spans="2:17" x14ac:dyDescent="0.5">
      <c r="C199" s="115"/>
      <c r="D199" s="115"/>
      <c r="E199" s="115"/>
      <c r="F199" s="115"/>
      <c r="G199" s="115"/>
      <c r="H199" s="115"/>
      <c r="I199" s="115"/>
      <c r="J199" s="88"/>
      <c r="K199" s="88"/>
      <c r="L199" s="88"/>
      <c r="M199" s="107"/>
      <c r="N199" s="107"/>
      <c r="O199" s="107"/>
      <c r="P199" s="107"/>
      <c r="Q199" s="107"/>
    </row>
    <row r="200" spans="2:17" x14ac:dyDescent="0.5">
      <c r="C200" s="115"/>
      <c r="D200" s="115"/>
      <c r="E200" s="115"/>
      <c r="F200" s="115"/>
      <c r="G200" s="115"/>
      <c r="H200" s="115"/>
      <c r="I200" s="115"/>
      <c r="J200" s="88"/>
      <c r="K200" s="88"/>
      <c r="L200" s="88"/>
      <c r="M200" s="107"/>
      <c r="N200" s="107"/>
      <c r="O200" s="107"/>
      <c r="P200" s="107"/>
      <c r="Q200" s="107"/>
    </row>
    <row r="201" spans="2:17" x14ac:dyDescent="0.5">
      <c r="C201" s="115"/>
      <c r="D201" s="115"/>
      <c r="E201" s="115"/>
      <c r="F201" s="115"/>
      <c r="G201" s="115"/>
      <c r="H201" s="115"/>
      <c r="I201" s="115"/>
      <c r="J201" s="88"/>
      <c r="K201" s="88"/>
      <c r="L201" s="88"/>
      <c r="M201" s="107"/>
      <c r="N201" s="107"/>
      <c r="O201" s="107"/>
      <c r="P201" s="107"/>
      <c r="Q201" s="107"/>
    </row>
    <row r="202" spans="2:17" x14ac:dyDescent="0.5">
      <c r="C202" s="115"/>
      <c r="D202" s="115"/>
      <c r="E202" s="115"/>
      <c r="F202" s="115"/>
      <c r="G202" s="115"/>
      <c r="H202" s="115"/>
      <c r="I202" s="115"/>
      <c r="J202" s="88"/>
      <c r="K202" s="88"/>
      <c r="L202" s="88"/>
      <c r="M202" s="107"/>
      <c r="N202" s="107"/>
      <c r="O202" s="107"/>
      <c r="P202" s="107"/>
      <c r="Q202" s="107"/>
    </row>
    <row r="203" spans="2:17" x14ac:dyDescent="0.5">
      <c r="F203" s="88"/>
      <c r="G203" s="88"/>
      <c r="H203" s="88"/>
      <c r="I203" s="88"/>
      <c r="J203" s="88"/>
      <c r="K203" s="88"/>
      <c r="L203" s="88"/>
      <c r="M203" s="107"/>
      <c r="N203" s="107"/>
      <c r="O203" s="107"/>
      <c r="P203" s="107"/>
      <c r="Q203" s="107"/>
    </row>
    <row r="204" spans="2:17" x14ac:dyDescent="0.5">
      <c r="B204" s="18"/>
      <c r="F204" s="88"/>
      <c r="G204" s="88"/>
      <c r="H204" s="88"/>
      <c r="I204" s="88"/>
      <c r="J204" s="88"/>
      <c r="K204" s="88"/>
      <c r="L204" s="88"/>
      <c r="M204" s="107"/>
      <c r="N204" s="107"/>
      <c r="O204" s="107"/>
      <c r="P204" s="107"/>
      <c r="Q204" s="107"/>
    </row>
    <row r="205" spans="2:17" x14ac:dyDescent="0.5">
      <c r="F205" s="88"/>
      <c r="G205" s="88"/>
      <c r="H205" s="88"/>
      <c r="I205" s="88"/>
      <c r="J205" s="88"/>
      <c r="K205" s="88"/>
      <c r="L205" s="88"/>
      <c r="M205" s="107"/>
      <c r="N205" s="107"/>
      <c r="O205" s="107"/>
      <c r="P205" s="107"/>
      <c r="Q205" s="107"/>
    </row>
    <row r="206" spans="2:17" x14ac:dyDescent="0.5">
      <c r="C206" s="124"/>
      <c r="D206" s="124"/>
      <c r="E206" s="124"/>
      <c r="F206" s="124"/>
      <c r="G206" s="124"/>
      <c r="H206" s="124"/>
      <c r="I206" s="124"/>
      <c r="J206" s="88"/>
      <c r="K206" s="88"/>
      <c r="L206" s="88"/>
      <c r="M206" s="107"/>
      <c r="N206" s="107"/>
      <c r="O206" s="107"/>
      <c r="P206" s="107"/>
      <c r="Q206" s="107"/>
    </row>
    <row r="207" spans="2:17" x14ac:dyDescent="0.5">
      <c r="C207" s="125"/>
      <c r="D207" s="125"/>
      <c r="E207" s="125"/>
      <c r="F207" s="125"/>
      <c r="G207" s="125"/>
      <c r="H207" s="125"/>
      <c r="I207" s="125"/>
      <c r="J207" s="88"/>
      <c r="K207" s="88"/>
      <c r="L207" s="88"/>
      <c r="M207" s="107"/>
      <c r="N207" s="107"/>
      <c r="O207" s="107"/>
      <c r="P207" s="107"/>
      <c r="Q207" s="107"/>
    </row>
    <row r="208" spans="2:17" x14ac:dyDescent="0.5">
      <c r="C208" s="125"/>
      <c r="D208" s="125"/>
      <c r="E208" s="125"/>
      <c r="F208" s="125"/>
      <c r="G208" s="125"/>
      <c r="H208" s="125"/>
      <c r="I208" s="125"/>
      <c r="J208" s="88"/>
      <c r="K208" s="88"/>
      <c r="L208" s="88"/>
      <c r="M208" s="107"/>
      <c r="N208" s="107"/>
      <c r="O208" s="107"/>
      <c r="P208" s="107"/>
      <c r="Q208" s="107"/>
    </row>
    <row r="209" spans="3:17" x14ac:dyDescent="0.5">
      <c r="C209" s="125"/>
      <c r="D209" s="125"/>
      <c r="E209" s="125"/>
      <c r="F209" s="125"/>
      <c r="G209" s="125"/>
      <c r="H209" s="125"/>
      <c r="I209" s="125"/>
      <c r="J209" s="88"/>
      <c r="K209" s="88"/>
      <c r="L209" s="88"/>
      <c r="M209" s="107"/>
      <c r="N209" s="107"/>
      <c r="O209" s="107"/>
      <c r="P209" s="107"/>
      <c r="Q209" s="107"/>
    </row>
    <row r="210" spans="3:17" x14ac:dyDescent="0.5">
      <c r="C210" s="125"/>
      <c r="D210" s="125"/>
      <c r="E210" s="125"/>
      <c r="F210" s="125"/>
      <c r="G210" s="125"/>
      <c r="H210" s="125"/>
      <c r="I210" s="125"/>
      <c r="M210" s="107"/>
      <c r="N210" s="107"/>
      <c r="O210" s="107"/>
      <c r="P210" s="107"/>
      <c r="Q210" s="107"/>
    </row>
    <row r="211" spans="3:17" x14ac:dyDescent="0.5">
      <c r="C211" s="125"/>
      <c r="D211" s="125"/>
      <c r="E211" s="125"/>
      <c r="F211" s="125"/>
      <c r="G211" s="125"/>
      <c r="H211" s="125"/>
      <c r="I211" s="125"/>
      <c r="M211" s="107"/>
      <c r="N211" s="107"/>
      <c r="O211" s="107"/>
      <c r="P211" s="107"/>
      <c r="Q211" s="107"/>
    </row>
    <row r="212" spans="3:17" x14ac:dyDescent="0.5">
      <c r="C212" s="125"/>
      <c r="D212" s="125"/>
      <c r="E212" s="125"/>
      <c r="F212" s="125"/>
      <c r="G212" s="125"/>
      <c r="H212" s="125"/>
      <c r="I212" s="125"/>
      <c r="M212" s="107"/>
      <c r="N212" s="107"/>
      <c r="O212" s="107"/>
      <c r="P212" s="107"/>
      <c r="Q212" s="107"/>
    </row>
    <row r="213" spans="3:17" x14ac:dyDescent="0.5">
      <c r="C213" s="125"/>
      <c r="D213" s="125"/>
      <c r="E213" s="125"/>
      <c r="F213" s="125"/>
      <c r="G213" s="125"/>
      <c r="H213" s="125"/>
      <c r="I213" s="125"/>
      <c r="M213" s="107"/>
      <c r="N213" s="107"/>
      <c r="O213" s="107"/>
      <c r="P213" s="107"/>
      <c r="Q213" s="107"/>
    </row>
    <row r="214" spans="3:17" x14ac:dyDescent="0.5">
      <c r="C214" s="125"/>
      <c r="D214" s="125"/>
      <c r="E214" s="125"/>
      <c r="F214" s="125"/>
      <c r="G214" s="125"/>
      <c r="H214" s="125"/>
      <c r="I214" s="125"/>
      <c r="M214" s="107"/>
      <c r="N214" s="107"/>
      <c r="O214" s="107"/>
      <c r="P214" s="107"/>
      <c r="Q214" s="107"/>
    </row>
    <row r="215" spans="3:17" x14ac:dyDescent="0.5">
      <c r="C215" s="125"/>
      <c r="D215" s="125"/>
      <c r="E215" s="125"/>
      <c r="F215" s="125"/>
      <c r="G215" s="125"/>
      <c r="H215" s="125"/>
      <c r="I215" s="125"/>
      <c r="M215" s="107"/>
      <c r="N215" s="107"/>
      <c r="O215" s="107"/>
      <c r="P215" s="107"/>
      <c r="Q215" s="107"/>
    </row>
    <row r="216" spans="3:17" x14ac:dyDescent="0.5">
      <c r="C216" s="125"/>
      <c r="D216" s="125"/>
      <c r="E216" s="125"/>
      <c r="F216" s="125"/>
      <c r="G216" s="125"/>
      <c r="H216" s="125"/>
      <c r="I216" s="125"/>
      <c r="M216" s="107"/>
      <c r="N216" s="107"/>
      <c r="O216" s="107"/>
      <c r="P216" s="107"/>
      <c r="Q216" s="107"/>
    </row>
    <row r="217" spans="3:17" x14ac:dyDescent="0.5">
      <c r="C217" s="125"/>
      <c r="D217" s="125"/>
      <c r="E217" s="125"/>
      <c r="F217" s="125"/>
      <c r="G217" s="125"/>
      <c r="H217" s="125"/>
      <c r="I217" s="125"/>
      <c r="M217" s="107"/>
      <c r="N217" s="107"/>
      <c r="O217" s="107"/>
      <c r="P217" s="107"/>
      <c r="Q217" s="107"/>
    </row>
    <row r="218" spans="3:17" x14ac:dyDescent="0.5">
      <c r="C218" s="125"/>
      <c r="D218" s="125"/>
      <c r="E218" s="125"/>
      <c r="F218" s="125"/>
      <c r="G218" s="125"/>
      <c r="H218" s="125"/>
      <c r="I218" s="125"/>
      <c r="M218" s="107"/>
      <c r="N218" s="107"/>
      <c r="O218" s="107"/>
      <c r="P218" s="107"/>
      <c r="Q218" s="107"/>
    </row>
    <row r="219" spans="3:17" x14ac:dyDescent="0.5">
      <c r="C219" s="125"/>
      <c r="D219" s="125"/>
      <c r="E219" s="125"/>
      <c r="F219" s="125"/>
      <c r="G219" s="125"/>
      <c r="H219" s="125"/>
      <c r="I219" s="125"/>
      <c r="M219" s="107"/>
      <c r="N219" s="107"/>
      <c r="O219" s="107"/>
      <c r="P219" s="107"/>
      <c r="Q219" s="107"/>
    </row>
    <row r="220" spans="3:17" x14ac:dyDescent="0.5">
      <c r="C220" s="125"/>
      <c r="D220" s="125"/>
      <c r="E220" s="125"/>
      <c r="F220" s="125"/>
      <c r="G220" s="125"/>
      <c r="H220" s="125"/>
      <c r="I220" s="125"/>
      <c r="M220" s="107"/>
      <c r="N220" s="107"/>
      <c r="O220" s="107"/>
      <c r="P220" s="107"/>
      <c r="Q220" s="107"/>
    </row>
    <row r="221" spans="3:17" x14ac:dyDescent="0.5">
      <c r="C221" s="125"/>
      <c r="D221" s="125"/>
      <c r="E221" s="125"/>
      <c r="F221" s="125"/>
      <c r="G221" s="125"/>
      <c r="H221" s="125"/>
      <c r="I221" s="125"/>
      <c r="M221" s="107"/>
      <c r="N221" s="107"/>
      <c r="O221" s="107"/>
      <c r="P221" s="107"/>
      <c r="Q221" s="107"/>
    </row>
    <row r="222" spans="3:17" x14ac:dyDescent="0.5">
      <c r="C222" s="125"/>
      <c r="D222" s="125"/>
      <c r="E222" s="125"/>
      <c r="F222" s="125"/>
      <c r="G222" s="125"/>
      <c r="H222" s="125"/>
      <c r="I222" s="125"/>
      <c r="M222" s="107"/>
      <c r="N222" s="107"/>
      <c r="O222" s="107"/>
      <c r="P222" s="107"/>
      <c r="Q222" s="107"/>
    </row>
    <row r="223" spans="3:17" x14ac:dyDescent="0.5">
      <c r="C223" s="125"/>
      <c r="D223" s="125"/>
      <c r="E223" s="125"/>
      <c r="F223" s="125"/>
      <c r="G223" s="125"/>
      <c r="H223" s="125"/>
      <c r="I223" s="125"/>
      <c r="M223" s="107"/>
      <c r="N223" s="107"/>
      <c r="O223" s="107"/>
      <c r="P223" s="107"/>
      <c r="Q223" s="107"/>
    </row>
    <row r="224" spans="3:17" x14ac:dyDescent="0.5">
      <c r="C224" s="125"/>
      <c r="D224" s="125"/>
      <c r="E224" s="125"/>
      <c r="F224" s="125"/>
      <c r="G224" s="125"/>
      <c r="H224" s="125"/>
      <c r="I224" s="125"/>
      <c r="M224" s="107"/>
      <c r="N224" s="107"/>
      <c r="O224" s="107"/>
      <c r="P224" s="107"/>
      <c r="Q224" s="107"/>
    </row>
    <row r="225" spans="3:9" x14ac:dyDescent="0.5">
      <c r="C225" s="125"/>
      <c r="D225" s="125"/>
      <c r="E225" s="125"/>
      <c r="F225" s="125"/>
      <c r="G225" s="125"/>
      <c r="H225" s="125"/>
      <c r="I225" s="125"/>
    </row>
    <row r="226" spans="3:9" x14ac:dyDescent="0.5">
      <c r="C226" s="125"/>
      <c r="D226" s="125"/>
      <c r="E226" s="125"/>
      <c r="F226" s="125"/>
      <c r="G226" s="125"/>
      <c r="H226" s="125"/>
      <c r="I226" s="125"/>
    </row>
    <row r="227" spans="3:9" x14ac:dyDescent="0.5">
      <c r="C227" s="125"/>
      <c r="D227" s="125"/>
      <c r="E227" s="125"/>
      <c r="F227" s="125"/>
      <c r="G227" s="125"/>
      <c r="H227" s="125"/>
      <c r="I227" s="125"/>
    </row>
    <row r="228" spans="3:9" x14ac:dyDescent="0.5">
      <c r="C228" s="125"/>
      <c r="D228" s="125"/>
      <c r="E228" s="125"/>
      <c r="F228" s="125"/>
      <c r="G228" s="125"/>
      <c r="H228" s="125"/>
      <c r="I228" s="125"/>
    </row>
    <row r="229" spans="3:9" x14ac:dyDescent="0.5">
      <c r="C229" s="125"/>
      <c r="D229" s="125"/>
      <c r="E229" s="125"/>
      <c r="F229" s="125"/>
      <c r="G229" s="125"/>
      <c r="H229" s="125"/>
      <c r="I229" s="125"/>
    </row>
    <row r="230" spans="3:9" x14ac:dyDescent="0.5">
      <c r="C230" s="125"/>
      <c r="D230" s="125"/>
      <c r="E230" s="125"/>
      <c r="F230" s="125"/>
      <c r="G230" s="125"/>
      <c r="H230" s="125"/>
      <c r="I230" s="125"/>
    </row>
    <row r="231" spans="3:9" x14ac:dyDescent="0.5">
      <c r="C231" s="125"/>
      <c r="D231" s="125"/>
      <c r="E231" s="125"/>
      <c r="F231" s="125"/>
      <c r="G231" s="125"/>
      <c r="H231" s="125"/>
      <c r="I231" s="125"/>
    </row>
    <row r="232" spans="3:9" x14ac:dyDescent="0.5">
      <c r="C232" s="125"/>
      <c r="D232" s="125"/>
      <c r="E232" s="125"/>
      <c r="F232" s="125"/>
      <c r="G232" s="125"/>
      <c r="H232" s="125"/>
      <c r="I232" s="125"/>
    </row>
  </sheetData>
  <mergeCells count="11">
    <mergeCell ref="B29:L30"/>
    <mergeCell ref="D11:D13"/>
    <mergeCell ref="F11:F13"/>
    <mergeCell ref="G11:G13"/>
    <mergeCell ref="H11:H13"/>
    <mergeCell ref="I11:I13"/>
    <mergeCell ref="J11:J13"/>
    <mergeCell ref="B25:D25"/>
    <mergeCell ref="B24:D24"/>
    <mergeCell ref="K11:K13"/>
    <mergeCell ref="L11:L13"/>
  </mergeCells>
  <hyperlinks>
    <hyperlink ref="B28" r:id="rId1" xr:uid="{00000000-0004-0000-0200-000000000000}"/>
  </hyperlinks>
  <pageMargins left="0.37" right="0" top="0.26" bottom="0" header="0.16" footer="0.17"/>
  <pageSetup paperSize="9" scale="48" orientation="portrait" horizontalDpi="4294967292" verticalDpi="180" r:id="rId2"/>
  <headerFooter alignWithMargins="0">
    <oddHeader>&amp;R&amp;8&amp;F &amp;D T4 Bd/Beratung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08738" r:id="rId5" name="Button 2">
              <controlPr defaultSize="0" print="0" autoFill="0" autoPict="0" macro="[0]!Wyniki_2">
                <anchor moveWithCells="1" sizeWithCells="1">
                  <from>
                    <xdr:col>0</xdr:col>
                    <xdr:colOff>381000</xdr:colOff>
                    <xdr:row>66</xdr:row>
                    <xdr:rowOff>106680</xdr:rowOff>
                  </from>
                  <to>
                    <xdr:col>1</xdr:col>
                    <xdr:colOff>1455420</xdr:colOff>
                    <xdr:row>72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13" r:id="rId6" name="Button 177">
              <controlPr defaultSize="0" print="0" autoFill="0" autoPict="0" macro="[0]!Przycisk177_Kliknięcie">
                <anchor moveWithCells="1" sizeWithCells="1">
                  <from>
                    <xdr:col>1</xdr:col>
                    <xdr:colOff>30480</xdr:colOff>
                    <xdr:row>1</xdr:row>
                    <xdr:rowOff>152400</xdr:rowOff>
                  </from>
                  <to>
                    <xdr:col>1</xdr:col>
                    <xdr:colOff>1028700</xdr:colOff>
                    <xdr:row>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35" r:id="rId7" name="Button 199">
              <controlPr defaultSize="0" print="0" autoFill="0" autoPict="0" macro="[0]!Przycisk199_Kliknięcie">
                <anchor moveWithCells="1" sizeWithCells="1">
                  <from>
                    <xdr:col>1</xdr:col>
                    <xdr:colOff>0</xdr:colOff>
                    <xdr:row>4</xdr:row>
                    <xdr:rowOff>60960</xdr:rowOff>
                  </from>
                  <to>
                    <xdr:col>1</xdr:col>
                    <xdr:colOff>1051560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54" r:id="rId8" name="Button 218">
              <controlPr defaultSize="0" print="0" autoFill="0" autoPict="0" macro="[0]!Wyniki_2">
                <anchor moveWithCells="1" sizeWithCells="1">
                  <from>
                    <xdr:col>0</xdr:col>
                    <xdr:colOff>381000</xdr:colOff>
                    <xdr:row>34</xdr:row>
                    <xdr:rowOff>144780</xdr:rowOff>
                  </from>
                  <to>
                    <xdr:col>1</xdr:col>
                    <xdr:colOff>1036320</xdr:colOff>
                    <xdr:row>36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55" r:id="rId9" name="Button 219">
              <controlPr defaultSize="0" print="0" autoFill="0" autoPict="0" macro="[0]!Przycisk177_Kliknięcie">
                <anchor moveWithCells="1" sizeWithCells="1">
                  <from>
                    <xdr:col>1</xdr:col>
                    <xdr:colOff>7620</xdr:colOff>
                    <xdr:row>30</xdr:row>
                    <xdr:rowOff>152400</xdr:rowOff>
                  </from>
                  <to>
                    <xdr:col>1</xdr:col>
                    <xdr:colOff>1036320</xdr:colOff>
                    <xdr:row>32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956" r:id="rId10" name="Button 220">
              <controlPr defaultSize="0" print="0" autoFill="0" autoPict="0" macro="[0]!Przycisk199_Kliknięcie">
                <anchor moveWithCells="1" sizeWithCells="1">
                  <from>
                    <xdr:col>0</xdr:col>
                    <xdr:colOff>381000</xdr:colOff>
                    <xdr:row>32</xdr:row>
                    <xdr:rowOff>121920</xdr:rowOff>
                  </from>
                  <to>
                    <xdr:col>1</xdr:col>
                    <xdr:colOff>1036320</xdr:colOff>
                    <xdr:row>34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096" r:id="rId11" name="Button 360">
              <controlPr defaultSize="0" print="0" autoFill="0" autoPict="0" macro="[0]!Start2">
                <anchor moveWithCells="1" sizeWithCells="1">
                  <from>
                    <xdr:col>1</xdr:col>
                    <xdr:colOff>1097280</xdr:colOff>
                    <xdr:row>30</xdr:row>
                    <xdr:rowOff>160020</xdr:rowOff>
                  </from>
                  <to>
                    <xdr:col>1</xdr:col>
                    <xdr:colOff>2087880</xdr:colOff>
                    <xdr:row>32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097" r:id="rId12" name="Button 361">
              <controlPr defaultSize="0" print="0" autoFill="0" autoPict="0" macro="[0]!Przycisk178_Kliknięcie">
                <anchor moveWithCells="1" sizeWithCells="1">
                  <from>
                    <xdr:col>1</xdr:col>
                    <xdr:colOff>2118360</xdr:colOff>
                    <xdr:row>30</xdr:row>
                    <xdr:rowOff>152400</xdr:rowOff>
                  </from>
                  <to>
                    <xdr:col>1</xdr:col>
                    <xdr:colOff>3093720</xdr:colOff>
                    <xdr:row>32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098" r:id="rId13" name="Button 362">
              <controlPr defaultSize="0" print="0" autoFill="0" autoPict="0" macro="[0]!Przycisk86_Kliknięcie">
                <anchor moveWithCells="1" sizeWithCells="1">
                  <from>
                    <xdr:col>2</xdr:col>
                    <xdr:colOff>0</xdr:colOff>
                    <xdr:row>30</xdr:row>
                    <xdr:rowOff>152400</xdr:rowOff>
                  </from>
                  <to>
                    <xdr:col>2</xdr:col>
                    <xdr:colOff>899160</xdr:colOff>
                    <xdr:row>32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099" r:id="rId14" name="Button 363">
              <controlPr defaultSize="0" print="0" autoFill="0" autoPict="0" macro="[0]!Przycisk177_Kliknięcie">
                <anchor moveWithCells="1" sizeWithCells="1">
                  <from>
                    <xdr:col>2</xdr:col>
                    <xdr:colOff>914400</xdr:colOff>
                    <xdr:row>30</xdr:row>
                    <xdr:rowOff>137160</xdr:rowOff>
                  </from>
                  <to>
                    <xdr:col>3</xdr:col>
                    <xdr:colOff>838200</xdr:colOff>
                    <xdr:row>32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11">
    <pageSetUpPr fitToPage="1"/>
  </sheetPr>
  <dimension ref="A1:R229"/>
  <sheetViews>
    <sheetView showGridLines="0" showZeros="0" zoomScale="80" zoomScaleNormal="80" workbookViewId="0">
      <selection activeCell="C17" sqref="C17"/>
    </sheetView>
  </sheetViews>
  <sheetFormatPr defaultColWidth="11.44140625" defaultRowHeight="12.9" x14ac:dyDescent="0.5"/>
  <cols>
    <col min="1" max="1" width="5.88671875" style="4" customWidth="1"/>
    <col min="2" max="2" width="47.88671875" style="4" customWidth="1"/>
    <col min="3" max="3" width="19.44140625" style="4" customWidth="1"/>
    <col min="4" max="4" width="12.33203125" style="4" customWidth="1"/>
    <col min="5" max="5" width="15.6640625" style="4" customWidth="1"/>
    <col min="6" max="12" width="15.109375" style="4" customWidth="1"/>
    <col min="13" max="13" width="16.6640625" style="4" customWidth="1"/>
    <col min="14" max="16384" width="11.44140625" style="4"/>
  </cols>
  <sheetData>
    <row r="1" spans="1:14" ht="19.5" thickBot="1" x14ac:dyDescent="0.75">
      <c r="B1" s="189" t="s">
        <v>169</v>
      </c>
      <c r="C1" s="189"/>
      <c r="D1" s="189"/>
    </row>
    <row r="2" spans="1:14" ht="13.2" thickTop="1" x14ac:dyDescent="0.5"/>
    <row r="3" spans="1:14" ht="18.3" x14ac:dyDescent="0.7">
      <c r="B3" s="6"/>
    </row>
    <row r="4" spans="1:14" x14ac:dyDescent="0.5">
      <c r="B4" s="5"/>
      <c r="H4" s="126"/>
    </row>
    <row r="5" spans="1:14" x14ac:dyDescent="0.5">
      <c r="H5" s="126"/>
    </row>
    <row r="6" spans="1:14" x14ac:dyDescent="0.5">
      <c r="H6" s="126"/>
    </row>
    <row r="7" spans="1:14" x14ac:dyDescent="0.5">
      <c r="H7" s="126"/>
    </row>
    <row r="8" spans="1:14" ht="14.4" x14ac:dyDescent="0.5">
      <c r="A8" s="7"/>
      <c r="B8" s="241" t="s">
        <v>114</v>
      </c>
      <c r="C8" s="181" t="s">
        <v>115</v>
      </c>
      <c r="H8" s="126"/>
    </row>
    <row r="9" spans="1:14" ht="14.4" x14ac:dyDescent="0.5">
      <c r="B9" s="238" t="s">
        <v>67</v>
      </c>
      <c r="C9" s="187" t="s">
        <v>81</v>
      </c>
      <c r="H9" s="126"/>
    </row>
    <row r="10" spans="1:14" ht="15" customHeight="1" x14ac:dyDescent="0.5">
      <c r="G10" s="22"/>
      <c r="H10" s="126"/>
      <c r="J10" s="20"/>
      <c r="K10" s="20"/>
      <c r="L10" s="14"/>
    </row>
    <row r="11" spans="1:14" x14ac:dyDescent="0.5">
      <c r="B11" s="166"/>
      <c r="C11" s="167"/>
      <c r="D11" s="167"/>
      <c r="E11" s="168"/>
      <c r="F11" s="285" t="str">
        <f>'Dane sprawność 2'!E11</f>
        <v>Kocioł gazowy, kondensacyjny o spr. 87%    Wariant A</v>
      </c>
      <c r="G11" s="285" t="str">
        <f>'Dane sprawność 2'!F11</f>
        <v>Gazowa pompa ciepła z wsp.  SPER 124%    Wariant B</v>
      </c>
      <c r="H11" s="285" t="str">
        <f>'Dane sprawność 2'!G11</f>
        <v>Kocioł na pelet o spr. 83%  Wariant C</v>
      </c>
      <c r="I11" s="285" t="str">
        <f>'Dane sprawność 2'!H11</f>
        <v>Kocioł elektryczny o spr. 94%    Wariant D</v>
      </c>
      <c r="J11" s="285" t="str">
        <f>'Dane sprawność 2'!I11</f>
        <v>PV 3,3 kWp + Pompa c. P/W o SCOP=3,45  Wariant E</v>
      </c>
      <c r="K11" s="285" t="str">
        <f>'Dane sprawność 2'!J11</f>
        <v>Powietrzna pompa ciepła o SCOP = 3,45  Wariant F</v>
      </c>
      <c r="L11" s="285" t="str">
        <f>'Dane sprawność 2'!K11</f>
        <v>Gruntowa pompa ciepła o SCOP = 3,75  Wariant G</v>
      </c>
    </row>
    <row r="12" spans="1:14" x14ac:dyDescent="0.5">
      <c r="B12" s="169"/>
      <c r="C12" s="170"/>
      <c r="D12" s="170"/>
      <c r="E12" s="171"/>
      <c r="F12" s="285"/>
      <c r="G12" s="285"/>
      <c r="H12" s="285"/>
      <c r="I12" s="285"/>
      <c r="J12" s="285"/>
      <c r="K12" s="285"/>
      <c r="L12" s="285"/>
      <c r="N12" s="128"/>
    </row>
    <row r="13" spans="1:14" ht="30.6" customHeight="1" x14ac:dyDescent="0.5">
      <c r="B13" s="172"/>
      <c r="C13" s="173"/>
      <c r="D13" s="173"/>
      <c r="E13" s="174"/>
      <c r="F13" s="285"/>
      <c r="G13" s="285"/>
      <c r="H13" s="285"/>
      <c r="I13" s="285"/>
      <c r="J13" s="285"/>
      <c r="K13" s="285"/>
      <c r="L13" s="285"/>
    </row>
    <row r="14" spans="1:14" ht="21" customHeight="1" x14ac:dyDescent="0.6">
      <c r="B14" s="226" t="s">
        <v>132</v>
      </c>
      <c r="E14" s="26"/>
      <c r="G14" s="27"/>
      <c r="I14" s="26"/>
      <c r="J14" s="14"/>
      <c r="K14" s="27"/>
      <c r="L14" s="27"/>
    </row>
    <row r="15" spans="1:14" ht="20.399999999999999" customHeight="1" x14ac:dyDescent="0.6">
      <c r="B15" s="23" t="s">
        <v>159</v>
      </c>
      <c r="E15" s="39" t="s">
        <v>165</v>
      </c>
      <c r="F15" s="207"/>
      <c r="G15" s="207"/>
      <c r="H15" s="208">
        <v>700</v>
      </c>
      <c r="I15" s="207"/>
      <c r="J15" s="207"/>
      <c r="K15" s="207"/>
      <c r="L15" s="207"/>
    </row>
    <row r="16" spans="1:14" ht="20.399999999999999" customHeight="1" x14ac:dyDescent="0.6">
      <c r="B16" s="23" t="s">
        <v>160</v>
      </c>
      <c r="E16" s="39" t="s">
        <v>164</v>
      </c>
      <c r="F16" s="30"/>
      <c r="G16" s="30"/>
      <c r="H16" s="209">
        <v>5</v>
      </c>
      <c r="I16" s="30"/>
      <c r="J16" s="30"/>
      <c r="K16" s="30"/>
      <c r="L16" s="30"/>
    </row>
    <row r="17" spans="2:12" ht="20.399999999999999" customHeight="1" x14ac:dyDescent="0.6">
      <c r="B17" s="28" t="s">
        <v>192</v>
      </c>
      <c r="C17" s="200">
        <v>47</v>
      </c>
      <c r="D17" s="18" t="s">
        <v>113</v>
      </c>
      <c r="E17" s="39" t="s">
        <v>118</v>
      </c>
      <c r="F17" s="210">
        <v>0.19</v>
      </c>
      <c r="G17" s="210">
        <v>0.19</v>
      </c>
      <c r="H17" s="211">
        <f>H15/1000/H16</f>
        <v>0.13999999999999999</v>
      </c>
      <c r="I17" s="211">
        <f>C17/100</f>
        <v>0.47</v>
      </c>
      <c r="J17" s="211"/>
      <c r="K17" s="211">
        <f>C17/100</f>
        <v>0.47</v>
      </c>
      <c r="L17" s="211">
        <f>C17/100</f>
        <v>0.47</v>
      </c>
    </row>
    <row r="18" spans="2:12" ht="20.399999999999999" customHeight="1" x14ac:dyDescent="0.6">
      <c r="B18" s="246" t="s">
        <v>191</v>
      </c>
      <c r="E18" s="30"/>
      <c r="F18" s="210">
        <v>0.56000000000000005</v>
      </c>
      <c r="G18" s="29"/>
      <c r="H18" s="210">
        <v>0.56000000000000005</v>
      </c>
      <c r="I18" s="211">
        <f>C17/100</f>
        <v>0.47</v>
      </c>
      <c r="J18" s="211"/>
      <c r="K18" s="211">
        <f>C17/100</f>
        <v>0.47</v>
      </c>
      <c r="L18" s="211">
        <f>C17/100</f>
        <v>0.47</v>
      </c>
    </row>
    <row r="19" spans="2:12" ht="10.5" customHeight="1" x14ac:dyDescent="0.6">
      <c r="B19" s="23"/>
      <c r="E19" s="30"/>
      <c r="F19" s="30"/>
      <c r="G19" s="29"/>
      <c r="H19" s="48"/>
      <c r="I19" s="30"/>
      <c r="J19" s="30"/>
      <c r="K19" s="204"/>
      <c r="L19" s="204"/>
    </row>
    <row r="20" spans="2:12" ht="15.6" x14ac:dyDescent="0.6">
      <c r="B20" s="226" t="s">
        <v>133</v>
      </c>
      <c r="C20" s="69"/>
      <c r="D20" s="69"/>
      <c r="E20" s="217"/>
      <c r="F20" s="212" t="b">
        <f>ISERROR(#REF!)</f>
        <v>1</v>
      </c>
      <c r="G20" s="212" t="b">
        <f>ISERROR(#REF!)</f>
        <v>1</v>
      </c>
      <c r="H20" s="213" t="b">
        <f>ISERROR(#REF!)</f>
        <v>1</v>
      </c>
      <c r="I20" s="212"/>
      <c r="J20" s="212"/>
      <c r="K20" s="212" t="b">
        <f>ISERROR(#REF!)</f>
        <v>1</v>
      </c>
      <c r="L20" s="212" t="b">
        <f>ISERROR(#REF!)</f>
        <v>1</v>
      </c>
    </row>
    <row r="21" spans="2:12" ht="15.6" x14ac:dyDescent="0.6">
      <c r="B21" s="28" t="s">
        <v>6</v>
      </c>
      <c r="C21" s="29"/>
      <c r="D21" s="29"/>
      <c r="E21" s="39" t="s">
        <v>119</v>
      </c>
      <c r="F21" s="205">
        <v>150</v>
      </c>
      <c r="G21" s="205"/>
      <c r="H21" s="205">
        <v>200</v>
      </c>
      <c r="I21" s="214"/>
      <c r="J21" s="214"/>
      <c r="K21" s="215"/>
      <c r="L21" s="215"/>
    </row>
    <row r="22" spans="2:12" ht="15.6" x14ac:dyDescent="0.6">
      <c r="B22" s="54" t="s">
        <v>216</v>
      </c>
      <c r="C22" s="55"/>
      <c r="D22" s="55"/>
      <c r="E22" s="56" t="s">
        <v>119</v>
      </c>
      <c r="F22" s="216"/>
      <c r="G22" s="205"/>
      <c r="H22" s="205"/>
      <c r="I22" s="216"/>
      <c r="J22" s="205">
        <v>0</v>
      </c>
      <c r="K22" s="216"/>
      <c r="L22" s="216"/>
    </row>
    <row r="23" spans="2:12" x14ac:dyDescent="0.5">
      <c r="G23" s="103"/>
    </row>
    <row r="24" spans="2:12" x14ac:dyDescent="0.5">
      <c r="B24" s="126" t="s">
        <v>92</v>
      </c>
      <c r="C24"/>
      <c r="D24"/>
      <c r="E24"/>
      <c r="F24"/>
      <c r="G24"/>
      <c r="H24"/>
      <c r="I24"/>
    </row>
    <row r="25" spans="2:12" x14ac:dyDescent="0.5">
      <c r="B25" s="127" t="s">
        <v>66</v>
      </c>
      <c r="C25"/>
      <c r="D25"/>
      <c r="E25"/>
      <c r="F25"/>
      <c r="G25"/>
      <c r="H25"/>
      <c r="I25"/>
    </row>
    <row r="26" spans="2:12" ht="13.8" customHeight="1" x14ac:dyDescent="0.5">
      <c r="B26" s="280" t="s">
        <v>134</v>
      </c>
      <c r="C26" s="280"/>
      <c r="D26" s="280"/>
      <c r="E26" s="280"/>
      <c r="F26" s="280"/>
      <c r="G26" s="280"/>
      <c r="H26" s="280"/>
      <c r="I26" s="280"/>
      <c r="J26" s="280"/>
      <c r="K26" s="280"/>
      <c r="L26" s="280"/>
    </row>
    <row r="27" spans="2:12" ht="13.8" customHeight="1" x14ac:dyDescent="0.5"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</row>
    <row r="28" spans="2:12" ht="14.4" x14ac:dyDescent="0.55000000000000004">
      <c r="B28" s="104"/>
      <c r="C28" s="80"/>
      <c r="D28" s="80"/>
      <c r="E28" s="80"/>
      <c r="F28" s="80"/>
      <c r="G28" s="80"/>
      <c r="H28" s="80"/>
      <c r="I28" s="80"/>
    </row>
    <row r="29" spans="2:12" ht="14.4" x14ac:dyDescent="0.55000000000000004">
      <c r="B29" s="104"/>
      <c r="C29" s="80"/>
      <c r="D29" s="80"/>
      <c r="E29" s="80"/>
      <c r="F29" s="80"/>
      <c r="G29" s="80"/>
      <c r="H29" s="80"/>
      <c r="I29" s="80"/>
    </row>
    <row r="30" spans="2:12" ht="14.4" x14ac:dyDescent="0.55000000000000004">
      <c r="B30" s="104"/>
      <c r="C30" s="80"/>
      <c r="D30" s="80"/>
      <c r="E30" s="80"/>
      <c r="F30" s="80"/>
      <c r="G30" s="80"/>
      <c r="H30" s="80"/>
      <c r="I30" s="80"/>
    </row>
    <row r="31" spans="2:12" ht="14.4" x14ac:dyDescent="0.55000000000000004">
      <c r="B31" s="104"/>
      <c r="C31" s="80"/>
      <c r="D31" s="80"/>
      <c r="E31" s="80"/>
      <c r="F31" s="80"/>
      <c r="G31" s="80"/>
      <c r="H31" s="80"/>
      <c r="I31" s="80"/>
    </row>
    <row r="32" spans="2:12" ht="14.4" x14ac:dyDescent="0.55000000000000004">
      <c r="B32" s="104"/>
      <c r="C32" s="80"/>
      <c r="D32" s="80"/>
      <c r="E32" s="80"/>
      <c r="F32" s="80"/>
      <c r="G32" s="80"/>
      <c r="H32" s="80"/>
      <c r="I32" s="80"/>
    </row>
    <row r="33" spans="1:9" ht="14.4" x14ac:dyDescent="0.55000000000000004">
      <c r="B33" s="104"/>
      <c r="C33" s="80"/>
      <c r="D33" s="80"/>
      <c r="E33" s="80"/>
      <c r="F33" s="80"/>
      <c r="G33" s="80"/>
      <c r="H33" s="80"/>
      <c r="I33" s="80"/>
    </row>
    <row r="34" spans="1:9" ht="14.4" x14ac:dyDescent="0.55000000000000004">
      <c r="B34" s="104"/>
      <c r="C34" s="80"/>
      <c r="D34" s="80"/>
      <c r="E34" s="80"/>
      <c r="F34" s="80"/>
      <c r="G34" s="80"/>
      <c r="H34" s="80"/>
      <c r="I34" s="80"/>
    </row>
    <row r="35" spans="1:9" ht="14.4" x14ac:dyDescent="0.55000000000000004">
      <c r="A35" s="4">
        <v>7</v>
      </c>
      <c r="B35" s="104"/>
      <c r="C35" s="80"/>
      <c r="D35" s="80"/>
      <c r="E35" s="80"/>
      <c r="F35" s="80"/>
      <c r="G35" s="80"/>
      <c r="H35" s="80"/>
      <c r="I35" s="80"/>
    </row>
    <row r="36" spans="1:9" ht="14.4" x14ac:dyDescent="0.55000000000000004">
      <c r="B36" s="104"/>
      <c r="C36" s="80"/>
      <c r="D36" s="80"/>
      <c r="E36" s="80"/>
      <c r="F36" s="80"/>
      <c r="G36" s="80"/>
      <c r="H36" s="80"/>
      <c r="I36" s="80"/>
    </row>
    <row r="37" spans="1:9" ht="14.4" x14ac:dyDescent="0.55000000000000004">
      <c r="B37" s="104"/>
      <c r="C37" s="80"/>
      <c r="D37" s="80"/>
      <c r="E37" s="80"/>
      <c r="F37" s="80"/>
      <c r="G37" s="80"/>
      <c r="H37" s="80"/>
      <c r="I37" s="80"/>
    </row>
    <row r="38" spans="1:9" ht="14.4" x14ac:dyDescent="0.55000000000000004">
      <c r="B38" s="104"/>
      <c r="C38" s="80"/>
      <c r="D38" s="80"/>
      <c r="E38" s="80"/>
      <c r="F38" s="80"/>
      <c r="G38" s="80"/>
      <c r="H38" s="80"/>
      <c r="I38" s="80"/>
    </row>
    <row r="39" spans="1:9" ht="14.4" x14ac:dyDescent="0.55000000000000004">
      <c r="B39" s="104"/>
      <c r="C39" s="80"/>
      <c r="D39" s="80"/>
      <c r="E39" s="80"/>
      <c r="F39" s="80"/>
      <c r="G39" s="80"/>
      <c r="H39" s="80"/>
      <c r="I39" s="80"/>
    </row>
    <row r="40" spans="1:9" ht="14.4" x14ac:dyDescent="0.55000000000000004">
      <c r="B40" s="104"/>
      <c r="C40" s="80"/>
      <c r="D40" s="80"/>
      <c r="E40" s="80"/>
      <c r="F40" s="80"/>
      <c r="G40" s="80"/>
      <c r="H40" s="80"/>
      <c r="I40" s="80"/>
    </row>
    <row r="41" spans="1:9" ht="14.4" x14ac:dyDescent="0.55000000000000004">
      <c r="B41" s="104"/>
      <c r="C41" s="80"/>
      <c r="D41" s="80"/>
      <c r="E41" s="80"/>
      <c r="F41" s="80"/>
      <c r="G41" s="80"/>
      <c r="H41" s="80"/>
      <c r="I41" s="80"/>
    </row>
    <row r="42" spans="1:9" ht="14.4" x14ac:dyDescent="0.55000000000000004">
      <c r="B42" s="104"/>
      <c r="C42" s="80"/>
      <c r="D42" s="80"/>
      <c r="E42" s="80"/>
      <c r="F42" s="80"/>
      <c r="G42" s="80"/>
      <c r="H42" s="80"/>
      <c r="I42" s="80"/>
    </row>
    <row r="43" spans="1:9" ht="14.4" x14ac:dyDescent="0.55000000000000004">
      <c r="B43" s="104"/>
      <c r="C43" s="80"/>
      <c r="D43" s="80"/>
      <c r="E43" s="80"/>
      <c r="F43" s="80"/>
      <c r="G43" s="80"/>
      <c r="H43" s="80"/>
      <c r="I43" s="80"/>
    </row>
    <row r="44" spans="1:9" ht="14.4" x14ac:dyDescent="0.55000000000000004">
      <c r="B44" s="104"/>
      <c r="C44" s="80"/>
      <c r="D44" s="80"/>
      <c r="E44" s="80"/>
      <c r="F44" s="80"/>
      <c r="G44" s="80"/>
      <c r="H44" s="80"/>
      <c r="I44" s="80"/>
    </row>
    <row r="45" spans="1:9" ht="14.4" x14ac:dyDescent="0.55000000000000004">
      <c r="B45" s="104"/>
      <c r="C45" s="80"/>
      <c r="D45" s="80"/>
      <c r="E45" s="80"/>
      <c r="F45" s="80"/>
      <c r="G45" s="80"/>
      <c r="H45" s="80"/>
      <c r="I45" s="80"/>
    </row>
    <row r="46" spans="1:9" ht="14.4" x14ac:dyDescent="0.55000000000000004">
      <c r="B46" s="104"/>
      <c r="C46" s="80"/>
      <c r="D46" s="80"/>
      <c r="E46" s="80"/>
      <c r="F46" s="80"/>
      <c r="G46" s="80"/>
      <c r="H46" s="80"/>
      <c r="I46" s="80"/>
    </row>
    <row r="47" spans="1:9" ht="14.4" x14ac:dyDescent="0.55000000000000004">
      <c r="B47" s="104"/>
      <c r="C47" s="80"/>
      <c r="D47" s="80"/>
      <c r="E47" s="80"/>
      <c r="F47" s="80"/>
      <c r="G47" s="80"/>
      <c r="H47" s="80"/>
      <c r="I47" s="80"/>
    </row>
    <row r="48" spans="1:9" ht="14.4" x14ac:dyDescent="0.55000000000000004">
      <c r="B48" s="104"/>
      <c r="C48" s="80"/>
      <c r="D48" s="80"/>
      <c r="E48" s="80"/>
      <c r="F48" s="80"/>
      <c r="G48" s="80"/>
      <c r="H48" s="80"/>
      <c r="I48" s="80"/>
    </row>
    <row r="49" spans="2:18" ht="14.4" x14ac:dyDescent="0.55000000000000004">
      <c r="B49" s="104"/>
      <c r="C49" s="80"/>
      <c r="D49" s="80"/>
      <c r="E49" s="80"/>
      <c r="F49" s="80"/>
      <c r="G49" s="80"/>
      <c r="H49" s="80"/>
      <c r="I49" s="80"/>
    </row>
    <row r="50" spans="2:18" ht="14.4" x14ac:dyDescent="0.55000000000000004">
      <c r="B50" s="104"/>
      <c r="C50" s="80"/>
      <c r="D50" s="80"/>
      <c r="E50" s="80"/>
      <c r="F50" s="80"/>
      <c r="G50" s="80"/>
      <c r="H50" s="80"/>
      <c r="I50" s="80"/>
      <c r="J50" s="88"/>
      <c r="K50" s="88"/>
      <c r="L50" s="88"/>
    </row>
    <row r="51" spans="2:18" ht="14.4" x14ac:dyDescent="0.55000000000000004">
      <c r="B51" s="104"/>
      <c r="C51" s="80"/>
      <c r="D51" s="80"/>
      <c r="E51" s="80"/>
      <c r="F51" s="80"/>
      <c r="G51" s="80"/>
      <c r="H51" s="80"/>
      <c r="I51" s="80"/>
      <c r="J51" s="88"/>
      <c r="K51" s="88"/>
      <c r="L51" s="88"/>
    </row>
    <row r="52" spans="2:18" ht="14.4" x14ac:dyDescent="0.55000000000000004">
      <c r="B52" s="104"/>
      <c r="C52" s="80"/>
      <c r="D52" s="80"/>
      <c r="E52" s="80"/>
      <c r="F52" s="80"/>
      <c r="G52" s="80"/>
      <c r="H52" s="80"/>
      <c r="I52" s="80"/>
      <c r="J52" s="88"/>
      <c r="K52" s="88"/>
      <c r="L52" s="88"/>
    </row>
    <row r="53" spans="2:18" ht="14.4" x14ac:dyDescent="0.55000000000000004">
      <c r="B53" s="104"/>
      <c r="C53" s="80"/>
      <c r="D53" s="80"/>
      <c r="E53" s="80"/>
      <c r="F53" s="80"/>
      <c r="G53" s="80"/>
      <c r="H53" s="80"/>
      <c r="I53" s="80"/>
      <c r="J53" s="105"/>
      <c r="K53" s="105"/>
      <c r="L53" s="88"/>
    </row>
    <row r="54" spans="2:18" ht="14.4" x14ac:dyDescent="0.55000000000000004">
      <c r="B54" s="104"/>
      <c r="C54" s="80"/>
      <c r="D54" s="80"/>
      <c r="E54" s="80"/>
      <c r="F54" s="80"/>
      <c r="G54" s="80"/>
      <c r="H54" s="80"/>
      <c r="I54" s="80"/>
      <c r="J54" s="88"/>
      <c r="K54" s="88"/>
      <c r="L54" s="88"/>
    </row>
    <row r="55" spans="2:18" ht="14.4" x14ac:dyDescent="0.55000000000000004">
      <c r="B55" s="104"/>
      <c r="C55" s="80"/>
      <c r="D55" s="80"/>
      <c r="E55" s="80"/>
      <c r="F55" s="80"/>
      <c r="G55" s="80"/>
      <c r="H55" s="80"/>
      <c r="I55" s="80"/>
      <c r="J55" s="88"/>
      <c r="K55" s="88"/>
      <c r="L55" s="88"/>
    </row>
    <row r="56" spans="2:18" s="107" customFormat="1" ht="14.4" x14ac:dyDescent="0.55000000000000004">
      <c r="B56" s="104"/>
      <c r="C56" s="80"/>
      <c r="D56" s="80"/>
      <c r="E56" s="80"/>
      <c r="F56" s="80"/>
      <c r="G56" s="80"/>
      <c r="H56" s="80"/>
      <c r="I56" s="80"/>
      <c r="J56" s="106"/>
      <c r="K56" s="106"/>
      <c r="L56" s="106"/>
      <c r="R56" s="4"/>
    </row>
    <row r="57" spans="2:18" s="107" customFormat="1" ht="14.4" x14ac:dyDescent="0.55000000000000004">
      <c r="B57" s="104"/>
      <c r="C57" s="80"/>
      <c r="D57" s="80"/>
      <c r="E57" s="80"/>
      <c r="F57" s="80"/>
      <c r="G57" s="80"/>
      <c r="H57" s="80"/>
      <c r="I57" s="80"/>
      <c r="J57" s="106"/>
      <c r="K57" s="106"/>
      <c r="L57" s="106"/>
      <c r="M57" s="106"/>
      <c r="R57" s="4"/>
    </row>
    <row r="58" spans="2:18" s="107" customFormat="1" ht="64.8" x14ac:dyDescent="0.55000000000000004">
      <c r="B58" s="104">
        <v>31</v>
      </c>
      <c r="C58" s="108" t="e">
        <f>#REF!</f>
        <v>#REF!</v>
      </c>
      <c r="D58" s="109" t="e">
        <f>#REF!</f>
        <v>#REF!</v>
      </c>
      <c r="E58" s="108" t="e">
        <f>#REF!</f>
        <v>#REF!</v>
      </c>
      <c r="F58" s="110" t="e">
        <f>#REF!</f>
        <v>#REF!</v>
      </c>
      <c r="G58" s="110" t="e">
        <f>#REF!</f>
        <v>#REF!</v>
      </c>
      <c r="H58" s="108" t="e">
        <f>#REF!</f>
        <v>#REF!</v>
      </c>
      <c r="I58" s="108" t="e">
        <f>#REF!</f>
        <v>#REF!</v>
      </c>
      <c r="J58" s="111" t="s">
        <v>54</v>
      </c>
      <c r="K58" s="111" t="s">
        <v>43</v>
      </c>
      <c r="L58" s="111" t="s">
        <v>47</v>
      </c>
      <c r="M58" s="111" t="s">
        <v>55</v>
      </c>
      <c r="N58" s="111" t="s">
        <v>60</v>
      </c>
      <c r="O58" s="111" t="s">
        <v>56</v>
      </c>
      <c r="P58" s="111"/>
      <c r="Q58" s="112"/>
      <c r="R58" s="4"/>
    </row>
    <row r="59" spans="2:18" s="107" customFormat="1" x14ac:dyDescent="0.5">
      <c r="B59" s="107">
        <v>1</v>
      </c>
      <c r="C59" s="113" t="e">
        <f>#REF!+C58*(1+#REF!)^$B59+#REF!*(1+#REF!)^$B59</f>
        <v>#REF!</v>
      </c>
      <c r="D59" s="113" t="e">
        <f>#REF!+D58+#REF!*(1+#REF!)^$B59</f>
        <v>#REF!</v>
      </c>
      <c r="E59" s="113" t="e">
        <f>#REF!+E58+#REF!*(1+#REF!)^$B59</f>
        <v>#REF!</v>
      </c>
      <c r="F59" s="113" t="e">
        <f>#REF!+F58+#REF!*(1+#REF!)^$B59</f>
        <v>#REF!</v>
      </c>
      <c r="G59" s="113" t="e">
        <f>#REF!+G58+#REF!*(1+#REF!)^$B59</f>
        <v>#REF!</v>
      </c>
      <c r="H59" s="113" t="e">
        <f>#REF!+H58+#REF!*(1+#REF!)^$B59</f>
        <v>#REF!</v>
      </c>
      <c r="I59" s="113" t="e">
        <f>#REF!+I58+#REF!*(1+#REF!)^$B59</f>
        <v>#REF!</v>
      </c>
      <c r="J59" s="114" t="e">
        <f t="shared" ref="J59:L83" si="0">IF($I59&lt;C59,0,1)</f>
        <v>#REF!</v>
      </c>
      <c r="K59" s="114" t="e">
        <f t="shared" si="0"/>
        <v>#REF!</v>
      </c>
      <c r="L59" s="114" t="e">
        <f t="shared" si="0"/>
        <v>#REF!</v>
      </c>
      <c r="M59" s="114" t="e">
        <f t="shared" ref="M59:M83" si="1">IF($I59&lt;G59,0,1)</f>
        <v>#REF!</v>
      </c>
      <c r="N59" s="114" t="e">
        <f>IF($I59&lt;F59,0,1)</f>
        <v>#REF!</v>
      </c>
      <c r="O59" s="114" t="e">
        <f t="shared" ref="O59:O83" si="2">IF($I59&lt;H59,0,1)</f>
        <v>#REF!</v>
      </c>
      <c r="P59" s="106"/>
      <c r="Q59" s="107">
        <v>1</v>
      </c>
      <c r="R59" s="115" t="e">
        <f>I59-E59</f>
        <v>#REF!</v>
      </c>
    </row>
    <row r="60" spans="2:18" s="107" customFormat="1" x14ac:dyDescent="0.5">
      <c r="B60" s="107">
        <v>2</v>
      </c>
      <c r="C60" s="113" t="e">
        <f>#REF!+C59+#REF!*(1+#REF!)^$B60</f>
        <v>#REF!</v>
      </c>
      <c r="D60" s="113" t="e">
        <f>#REF!+D59+#REF!*(1+#REF!)^$B60</f>
        <v>#REF!</v>
      </c>
      <c r="E60" s="113" t="e">
        <f>#REF!+E59+#REF!*(1+#REF!)^$B60</f>
        <v>#REF!</v>
      </c>
      <c r="F60" s="113" t="e">
        <f>#REF!+F59+#REF!*(1+#REF!)^$B60</f>
        <v>#REF!</v>
      </c>
      <c r="G60" s="113" t="e">
        <f>#REF!+G59+#REF!*(1+#REF!)^$B60</f>
        <v>#REF!</v>
      </c>
      <c r="H60" s="113" t="e">
        <f>#REF!+H59+#REF!*(1+#REF!)^$B60</f>
        <v>#REF!</v>
      </c>
      <c r="I60" s="113" t="e">
        <f>#REF!+I59+#REF!*(1+#REF!)^$B60</f>
        <v>#REF!</v>
      </c>
      <c r="J60" s="114" t="e">
        <f t="shared" si="0"/>
        <v>#REF!</v>
      </c>
      <c r="K60" s="114" t="e">
        <f t="shared" si="0"/>
        <v>#REF!</v>
      </c>
      <c r="L60" s="114" t="e">
        <f t="shared" si="0"/>
        <v>#REF!</v>
      </c>
      <c r="M60" s="114" t="e">
        <f t="shared" si="1"/>
        <v>#REF!</v>
      </c>
      <c r="N60" s="114" t="e">
        <f t="shared" ref="N60:N83" si="3">IF($I60&lt;F60,0,1)</f>
        <v>#REF!</v>
      </c>
      <c r="O60" s="114" t="e">
        <f>IF($I60&lt;H60,0,1)</f>
        <v>#REF!</v>
      </c>
      <c r="P60" s="106"/>
      <c r="Q60" s="107">
        <v>2</v>
      </c>
      <c r="R60" s="115" t="e">
        <f t="shared" ref="R60:R78" si="4">I60-E60</f>
        <v>#REF!</v>
      </c>
    </row>
    <row r="61" spans="2:18" s="107" customFormat="1" x14ac:dyDescent="0.5">
      <c r="B61" s="107">
        <v>3</v>
      </c>
      <c r="C61" s="113" t="e">
        <f>#REF!+C60+#REF!*(1+#REF!)^$B61</f>
        <v>#REF!</v>
      </c>
      <c r="D61" s="113" t="e">
        <f>#REF!+D60+#REF!*(1+#REF!)^$B61</f>
        <v>#REF!</v>
      </c>
      <c r="E61" s="113" t="e">
        <f>#REF!+E60+#REF!*(1+#REF!)^$B61</f>
        <v>#REF!</v>
      </c>
      <c r="F61" s="113" t="e">
        <f>#REF!+F60+#REF!*(1+#REF!)^$B61</f>
        <v>#REF!</v>
      </c>
      <c r="G61" s="113" t="e">
        <f>#REF!+G60+#REF!*(1+#REF!)^$B61</f>
        <v>#REF!</v>
      </c>
      <c r="H61" s="113" t="e">
        <f>#REF!+H60+#REF!*(1+#REF!)^$B61</f>
        <v>#REF!</v>
      </c>
      <c r="I61" s="113" t="e">
        <f>#REF!+I60+#REF!*(1+#REF!)^$B61</f>
        <v>#REF!</v>
      </c>
      <c r="J61" s="114" t="e">
        <f t="shared" si="0"/>
        <v>#REF!</v>
      </c>
      <c r="K61" s="114" t="e">
        <f t="shared" si="0"/>
        <v>#REF!</v>
      </c>
      <c r="L61" s="114" t="e">
        <f t="shared" si="0"/>
        <v>#REF!</v>
      </c>
      <c r="M61" s="114" t="e">
        <f t="shared" si="1"/>
        <v>#REF!</v>
      </c>
      <c r="N61" s="114" t="e">
        <f t="shared" si="3"/>
        <v>#REF!</v>
      </c>
      <c r="O61" s="114" t="e">
        <f t="shared" si="2"/>
        <v>#REF!</v>
      </c>
      <c r="P61" s="106"/>
      <c r="Q61" s="107">
        <v>3</v>
      </c>
      <c r="R61" s="115" t="e">
        <f t="shared" si="4"/>
        <v>#REF!</v>
      </c>
    </row>
    <row r="62" spans="2:18" s="107" customFormat="1" x14ac:dyDescent="0.5">
      <c r="B62" s="107">
        <v>4</v>
      </c>
      <c r="C62" s="113" t="e">
        <f>#REF!+C61+#REF!*(1+#REF!)^$B62</f>
        <v>#REF!</v>
      </c>
      <c r="D62" s="113" t="e">
        <f>#REF!+D61+#REF!*(1+#REF!)^$B62</f>
        <v>#REF!</v>
      </c>
      <c r="E62" s="113" t="e">
        <f>#REF!+E61+#REF!*(1+#REF!)^$B62</f>
        <v>#REF!</v>
      </c>
      <c r="F62" s="113" t="e">
        <f>#REF!+F61+#REF!*(1+#REF!)^$B62</f>
        <v>#REF!</v>
      </c>
      <c r="G62" s="113" t="e">
        <f>#REF!+G61+#REF!*(1+#REF!)^$B62</f>
        <v>#REF!</v>
      </c>
      <c r="H62" s="113" t="e">
        <f>#REF!+H61+#REF!*(1+#REF!)^$B62</f>
        <v>#REF!</v>
      </c>
      <c r="I62" s="113" t="e">
        <f>#REF!+I61+#REF!*(1+#REF!)^$B62</f>
        <v>#REF!</v>
      </c>
      <c r="J62" s="114" t="e">
        <f t="shared" si="0"/>
        <v>#REF!</v>
      </c>
      <c r="K62" s="114" t="e">
        <f t="shared" si="0"/>
        <v>#REF!</v>
      </c>
      <c r="L62" s="114" t="e">
        <f t="shared" si="0"/>
        <v>#REF!</v>
      </c>
      <c r="M62" s="114" t="e">
        <f t="shared" si="1"/>
        <v>#REF!</v>
      </c>
      <c r="N62" s="114" t="e">
        <f t="shared" si="3"/>
        <v>#REF!</v>
      </c>
      <c r="O62" s="114" t="e">
        <f t="shared" si="2"/>
        <v>#REF!</v>
      </c>
      <c r="P62" s="106"/>
      <c r="Q62" s="107">
        <v>4</v>
      </c>
      <c r="R62" s="115" t="e">
        <f t="shared" si="4"/>
        <v>#REF!</v>
      </c>
    </row>
    <row r="63" spans="2:18" s="107" customFormat="1" x14ac:dyDescent="0.5">
      <c r="B63" s="107">
        <v>5</v>
      </c>
      <c r="C63" s="113" t="e">
        <f>#REF!+C62+#REF!*(1+#REF!)^$B63</f>
        <v>#REF!</v>
      </c>
      <c r="D63" s="113" t="e">
        <f>#REF!+D62+#REF!*(1+#REF!)^$B63</f>
        <v>#REF!</v>
      </c>
      <c r="E63" s="113" t="e">
        <f>#REF!+E62+#REF!*(1+#REF!)^$B63</f>
        <v>#REF!</v>
      </c>
      <c r="F63" s="113" t="e">
        <f>#REF!+F62+#REF!*(1+#REF!)^$B63</f>
        <v>#REF!</v>
      </c>
      <c r="G63" s="113" t="e">
        <f>#REF!+G62+#REF!*(1+#REF!)^$B63</f>
        <v>#REF!</v>
      </c>
      <c r="H63" s="113" t="e">
        <f>#REF!+H62+#REF!*(1+#REF!)^$B63</f>
        <v>#REF!</v>
      </c>
      <c r="I63" s="113" t="e">
        <f>#REF!+I62+#REF!*(1+#REF!)^$B63</f>
        <v>#REF!</v>
      </c>
      <c r="J63" s="114" t="e">
        <f t="shared" si="0"/>
        <v>#REF!</v>
      </c>
      <c r="K63" s="114" t="e">
        <f t="shared" si="0"/>
        <v>#REF!</v>
      </c>
      <c r="L63" s="114" t="e">
        <f t="shared" si="0"/>
        <v>#REF!</v>
      </c>
      <c r="M63" s="114" t="e">
        <f t="shared" si="1"/>
        <v>#REF!</v>
      </c>
      <c r="N63" s="114" t="e">
        <f t="shared" si="3"/>
        <v>#REF!</v>
      </c>
      <c r="O63" s="114" t="e">
        <f t="shared" si="2"/>
        <v>#REF!</v>
      </c>
      <c r="P63" s="106"/>
      <c r="Q63" s="107">
        <v>5</v>
      </c>
      <c r="R63" s="115" t="e">
        <f t="shared" si="4"/>
        <v>#REF!</v>
      </c>
    </row>
    <row r="64" spans="2:18" s="107" customFormat="1" x14ac:dyDescent="0.5">
      <c r="B64" s="107">
        <v>6</v>
      </c>
      <c r="C64" s="113" t="e">
        <f>#REF!+C63+#REF!*(1+#REF!)^$B64</f>
        <v>#REF!</v>
      </c>
      <c r="D64" s="113" t="e">
        <f>#REF!+D63+#REF!*(1+#REF!)^$B64</f>
        <v>#REF!</v>
      </c>
      <c r="E64" s="113" t="e">
        <f>#REF!+E63+#REF!*(1+#REF!)^$B64</f>
        <v>#REF!</v>
      </c>
      <c r="F64" s="113" t="e">
        <f>#REF!+F63+#REF!*(1+#REF!)^$B64</f>
        <v>#REF!</v>
      </c>
      <c r="G64" s="113" t="e">
        <f>#REF!+G63+#REF!*(1+#REF!)^$B64</f>
        <v>#REF!</v>
      </c>
      <c r="H64" s="113" t="e">
        <f>#REF!+H63+#REF!*(1+#REF!)^$B64</f>
        <v>#REF!</v>
      </c>
      <c r="I64" s="113" t="e">
        <f>#REF!+I63+#REF!*(1+#REF!)^$B64</f>
        <v>#REF!</v>
      </c>
      <c r="J64" s="114" t="e">
        <f t="shared" si="0"/>
        <v>#REF!</v>
      </c>
      <c r="K64" s="114" t="e">
        <f t="shared" si="0"/>
        <v>#REF!</v>
      </c>
      <c r="L64" s="114" t="e">
        <f t="shared" si="0"/>
        <v>#REF!</v>
      </c>
      <c r="M64" s="114" t="e">
        <f t="shared" si="1"/>
        <v>#REF!</v>
      </c>
      <c r="N64" s="114" t="e">
        <f t="shared" si="3"/>
        <v>#REF!</v>
      </c>
      <c r="O64" s="114" t="e">
        <f t="shared" si="2"/>
        <v>#REF!</v>
      </c>
      <c r="P64" s="106"/>
      <c r="Q64" s="107">
        <v>6</v>
      </c>
      <c r="R64" s="115" t="e">
        <f t="shared" si="4"/>
        <v>#REF!</v>
      </c>
    </row>
    <row r="65" spans="2:18" s="107" customFormat="1" x14ac:dyDescent="0.5">
      <c r="B65" s="107">
        <v>7</v>
      </c>
      <c r="C65" s="113" t="e">
        <f>#REF!+C64+#REF!*(1+#REF!)^$B65</f>
        <v>#REF!</v>
      </c>
      <c r="D65" s="113" t="e">
        <f>#REF!+D64+#REF!*(1+#REF!)^$B65</f>
        <v>#REF!</v>
      </c>
      <c r="E65" s="113" t="e">
        <f>#REF!+E64+#REF!*(1+#REF!)^$B65</f>
        <v>#REF!</v>
      </c>
      <c r="F65" s="113" t="e">
        <f>#REF!+F64+#REF!*(1+#REF!)^$B65</f>
        <v>#REF!</v>
      </c>
      <c r="G65" s="113" t="e">
        <f>#REF!+G64+#REF!*(1+#REF!)^$B65</f>
        <v>#REF!</v>
      </c>
      <c r="H65" s="113" t="e">
        <f>#REF!+H64+#REF!*(1+#REF!)^$B65</f>
        <v>#REF!</v>
      </c>
      <c r="I65" s="113" t="e">
        <f>#REF!+I64+#REF!*(1+#REF!)^$B65</f>
        <v>#REF!</v>
      </c>
      <c r="J65" s="114" t="e">
        <f t="shared" si="0"/>
        <v>#REF!</v>
      </c>
      <c r="K65" s="114" t="e">
        <f t="shared" si="0"/>
        <v>#REF!</v>
      </c>
      <c r="L65" s="114" t="e">
        <f t="shared" si="0"/>
        <v>#REF!</v>
      </c>
      <c r="M65" s="114" t="e">
        <f t="shared" si="1"/>
        <v>#REF!</v>
      </c>
      <c r="N65" s="114" t="e">
        <f t="shared" si="3"/>
        <v>#REF!</v>
      </c>
      <c r="O65" s="114" t="e">
        <f t="shared" si="2"/>
        <v>#REF!</v>
      </c>
      <c r="P65" s="106"/>
      <c r="Q65" s="107">
        <v>7</v>
      </c>
      <c r="R65" s="115" t="e">
        <f t="shared" si="4"/>
        <v>#REF!</v>
      </c>
    </row>
    <row r="66" spans="2:18" s="107" customFormat="1" x14ac:dyDescent="0.5">
      <c r="B66" s="107">
        <v>8</v>
      </c>
      <c r="C66" s="113" t="e">
        <f>#REF!+C65+#REF!*(1+#REF!)^$B66</f>
        <v>#REF!</v>
      </c>
      <c r="D66" s="113" t="e">
        <f>#REF!+D65+#REF!*(1+#REF!)^$B66</f>
        <v>#REF!</v>
      </c>
      <c r="E66" s="113" t="e">
        <f>#REF!+E65+#REF!*(1+#REF!)^$B66</f>
        <v>#REF!</v>
      </c>
      <c r="F66" s="113" t="e">
        <f>#REF!+F65+#REF!*(1+#REF!)^$B66</f>
        <v>#REF!</v>
      </c>
      <c r="G66" s="113" t="e">
        <f>#REF!+G65+#REF!*(1+#REF!)^$B66</f>
        <v>#REF!</v>
      </c>
      <c r="H66" s="113" t="e">
        <f>#REF!+H65+#REF!*(1+#REF!)^$B66</f>
        <v>#REF!</v>
      </c>
      <c r="I66" s="113" t="e">
        <f>#REF!+I65+#REF!*(1+#REF!)^$B66</f>
        <v>#REF!</v>
      </c>
      <c r="J66" s="114" t="e">
        <f t="shared" si="0"/>
        <v>#REF!</v>
      </c>
      <c r="K66" s="114" t="e">
        <f t="shared" si="0"/>
        <v>#REF!</v>
      </c>
      <c r="L66" s="114" t="e">
        <f t="shared" si="0"/>
        <v>#REF!</v>
      </c>
      <c r="M66" s="114" t="e">
        <f t="shared" si="1"/>
        <v>#REF!</v>
      </c>
      <c r="N66" s="114" t="e">
        <f t="shared" si="3"/>
        <v>#REF!</v>
      </c>
      <c r="O66" s="114" t="e">
        <f t="shared" si="2"/>
        <v>#REF!</v>
      </c>
      <c r="P66" s="106"/>
      <c r="Q66" s="107">
        <v>8</v>
      </c>
      <c r="R66" s="115" t="e">
        <f t="shared" si="4"/>
        <v>#REF!</v>
      </c>
    </row>
    <row r="67" spans="2:18" s="107" customFormat="1" x14ac:dyDescent="0.5">
      <c r="B67" s="107">
        <v>9</v>
      </c>
      <c r="C67" s="113" t="e">
        <f>#REF!+C66+#REF!*(1+#REF!)^$B67</f>
        <v>#REF!</v>
      </c>
      <c r="D67" s="113" t="e">
        <f>#REF!+D66+#REF!*(1+#REF!)^$B67</f>
        <v>#REF!</v>
      </c>
      <c r="E67" s="113" t="e">
        <f>#REF!+E66+#REF!*(1+#REF!)^$B67</f>
        <v>#REF!</v>
      </c>
      <c r="F67" s="113" t="e">
        <f>#REF!+F66+#REF!*(1+#REF!)^$B67</f>
        <v>#REF!</v>
      </c>
      <c r="G67" s="113" t="e">
        <f>#REF!+G66+#REF!*(1+#REF!)^$B67</f>
        <v>#REF!</v>
      </c>
      <c r="H67" s="113" t="e">
        <f>#REF!+H66+#REF!*(1+#REF!)^$B67</f>
        <v>#REF!</v>
      </c>
      <c r="I67" s="113" t="e">
        <f>#REF!+I66+#REF!*(1+#REF!)^$B67</f>
        <v>#REF!</v>
      </c>
      <c r="J67" s="114" t="e">
        <f t="shared" si="0"/>
        <v>#REF!</v>
      </c>
      <c r="K67" s="114" t="e">
        <f t="shared" si="0"/>
        <v>#REF!</v>
      </c>
      <c r="L67" s="114" t="e">
        <f t="shared" si="0"/>
        <v>#REF!</v>
      </c>
      <c r="M67" s="114" t="e">
        <f t="shared" si="1"/>
        <v>#REF!</v>
      </c>
      <c r="N67" s="114" t="e">
        <f t="shared" si="3"/>
        <v>#REF!</v>
      </c>
      <c r="O67" s="114" t="e">
        <f t="shared" si="2"/>
        <v>#REF!</v>
      </c>
      <c r="P67" s="106"/>
      <c r="Q67" s="107">
        <v>9</v>
      </c>
      <c r="R67" s="115" t="e">
        <f t="shared" si="4"/>
        <v>#REF!</v>
      </c>
    </row>
    <row r="68" spans="2:18" s="107" customFormat="1" x14ac:dyDescent="0.5">
      <c r="B68" s="107">
        <v>10</v>
      </c>
      <c r="C68" s="113" t="e">
        <f>#REF!+C67+#REF!*(1+#REF!)^$B68</f>
        <v>#REF!</v>
      </c>
      <c r="D68" s="113" t="e">
        <f>#REF!+D67+#REF!*(1+#REF!)^$B68</f>
        <v>#REF!</v>
      </c>
      <c r="E68" s="113" t="e">
        <f>#REF!+E67+#REF!*(1+#REF!)^$B68</f>
        <v>#REF!</v>
      </c>
      <c r="F68" s="113" t="e">
        <f>#REF!+F67+#REF!*(1+#REF!)^$B68</f>
        <v>#REF!</v>
      </c>
      <c r="G68" s="113" t="e">
        <f>#REF!+G67+#REF!*(1+#REF!)^$B68</f>
        <v>#REF!</v>
      </c>
      <c r="H68" s="113" t="e">
        <f>#REF!+H67+#REF!*(1+#REF!)^$B68</f>
        <v>#REF!</v>
      </c>
      <c r="I68" s="113" t="e">
        <f>#REF!+I67+#REF!*(1+#REF!)^$B68</f>
        <v>#REF!</v>
      </c>
      <c r="J68" s="114" t="e">
        <f t="shared" si="0"/>
        <v>#REF!</v>
      </c>
      <c r="K68" s="114" t="e">
        <f t="shared" si="0"/>
        <v>#REF!</v>
      </c>
      <c r="L68" s="114" t="e">
        <f t="shared" si="0"/>
        <v>#REF!</v>
      </c>
      <c r="M68" s="114" t="e">
        <f t="shared" si="1"/>
        <v>#REF!</v>
      </c>
      <c r="N68" s="114" t="e">
        <f t="shared" si="3"/>
        <v>#REF!</v>
      </c>
      <c r="O68" s="114" t="e">
        <f t="shared" si="2"/>
        <v>#REF!</v>
      </c>
      <c r="P68" s="106"/>
      <c r="Q68" s="107">
        <v>10</v>
      </c>
      <c r="R68" s="115" t="e">
        <f t="shared" si="4"/>
        <v>#REF!</v>
      </c>
    </row>
    <row r="69" spans="2:18" s="107" customFormat="1" x14ac:dyDescent="0.5">
      <c r="B69" s="107">
        <v>11</v>
      </c>
      <c r="C69" s="113" t="e">
        <f>#REF!+C68+#REF!*(1+#REF!)^$B69</f>
        <v>#REF!</v>
      </c>
      <c r="D69" s="113" t="e">
        <f>#REF!+D68+#REF!*(1+#REF!)^$B69</f>
        <v>#REF!</v>
      </c>
      <c r="E69" s="113" t="e">
        <f>#REF!+E68+#REF!*(1+#REF!)^$B69</f>
        <v>#REF!</v>
      </c>
      <c r="F69" s="113" t="e">
        <f>#REF!+F68+#REF!*(1+#REF!)^$B69</f>
        <v>#REF!</v>
      </c>
      <c r="G69" s="113" t="e">
        <f>#REF!+G68+#REF!*(1+#REF!)^$B69</f>
        <v>#REF!</v>
      </c>
      <c r="H69" s="113" t="e">
        <f>#REF!+H68+#REF!*(1+#REF!)^$B69</f>
        <v>#REF!</v>
      </c>
      <c r="I69" s="113" t="e">
        <f>#REF!+I68+#REF!*(1+#REF!)^$B69</f>
        <v>#REF!</v>
      </c>
      <c r="J69" s="114" t="e">
        <f t="shared" si="0"/>
        <v>#REF!</v>
      </c>
      <c r="K69" s="114" t="e">
        <f t="shared" si="0"/>
        <v>#REF!</v>
      </c>
      <c r="L69" s="114" t="e">
        <f t="shared" si="0"/>
        <v>#REF!</v>
      </c>
      <c r="M69" s="114" t="e">
        <f t="shared" si="1"/>
        <v>#REF!</v>
      </c>
      <c r="N69" s="114" t="e">
        <f t="shared" si="3"/>
        <v>#REF!</v>
      </c>
      <c r="O69" s="114" t="e">
        <f t="shared" si="2"/>
        <v>#REF!</v>
      </c>
      <c r="P69" s="106"/>
      <c r="Q69" s="107">
        <v>11</v>
      </c>
      <c r="R69" s="115" t="e">
        <f t="shared" si="4"/>
        <v>#REF!</v>
      </c>
    </row>
    <row r="70" spans="2:18" s="107" customFormat="1" x14ac:dyDescent="0.5">
      <c r="B70" s="107">
        <v>12</v>
      </c>
      <c r="C70" s="113" t="e">
        <f>#REF!+C69+#REF!*(1+#REF!)^$B70</f>
        <v>#REF!</v>
      </c>
      <c r="D70" s="113" t="e">
        <f>#REF!+D69+#REF!*(1+#REF!)^$B70</f>
        <v>#REF!</v>
      </c>
      <c r="E70" s="113" t="e">
        <f>#REF!+E69+#REF!*(1+#REF!)^$B70</f>
        <v>#REF!</v>
      </c>
      <c r="F70" s="113" t="e">
        <f>#REF!+F69+#REF!*(1+#REF!)^$B70</f>
        <v>#REF!</v>
      </c>
      <c r="G70" s="113" t="e">
        <f>#REF!+G69+#REF!*(1+#REF!)^$B70</f>
        <v>#REF!</v>
      </c>
      <c r="H70" s="113" t="e">
        <f>#REF!+H69+#REF!*(1+#REF!)^$B70</f>
        <v>#REF!</v>
      </c>
      <c r="I70" s="113" t="e">
        <f>#REF!+I69+#REF!*(1+#REF!)^$B70</f>
        <v>#REF!</v>
      </c>
      <c r="J70" s="114" t="e">
        <f t="shared" si="0"/>
        <v>#REF!</v>
      </c>
      <c r="K70" s="114" t="e">
        <f t="shared" si="0"/>
        <v>#REF!</v>
      </c>
      <c r="L70" s="114" t="e">
        <f t="shared" si="0"/>
        <v>#REF!</v>
      </c>
      <c r="M70" s="114" t="e">
        <f t="shared" si="1"/>
        <v>#REF!</v>
      </c>
      <c r="N70" s="114" t="e">
        <f t="shared" si="3"/>
        <v>#REF!</v>
      </c>
      <c r="O70" s="114" t="e">
        <f t="shared" si="2"/>
        <v>#REF!</v>
      </c>
      <c r="P70" s="106"/>
      <c r="Q70" s="107">
        <v>12</v>
      </c>
      <c r="R70" s="115" t="e">
        <f t="shared" si="4"/>
        <v>#REF!</v>
      </c>
    </row>
    <row r="71" spans="2:18" s="107" customFormat="1" x14ac:dyDescent="0.5">
      <c r="B71" s="107">
        <v>13</v>
      </c>
      <c r="C71" s="113" t="e">
        <f>#REF!+C70+#REF!*(1+#REF!)^$B71</f>
        <v>#REF!</v>
      </c>
      <c r="D71" s="113" t="e">
        <f>#REF!+D70+#REF!*(1+#REF!)^$B71</f>
        <v>#REF!</v>
      </c>
      <c r="E71" s="113" t="e">
        <f>#REF!+E70+#REF!*(1+#REF!)^$B71</f>
        <v>#REF!</v>
      </c>
      <c r="F71" s="113" t="e">
        <f>#REF!+F70+#REF!*(1+#REF!)^$B71</f>
        <v>#REF!</v>
      </c>
      <c r="G71" s="113" t="e">
        <f>#REF!+G70+#REF!*(1+#REF!)^$B71</f>
        <v>#REF!</v>
      </c>
      <c r="H71" s="113" t="e">
        <f>#REF!+H70+#REF!*(1+#REF!)^$B71</f>
        <v>#REF!</v>
      </c>
      <c r="I71" s="113" t="e">
        <f>#REF!+I70+#REF!*(1+#REF!)^$B71</f>
        <v>#REF!</v>
      </c>
      <c r="J71" s="114" t="e">
        <f t="shared" si="0"/>
        <v>#REF!</v>
      </c>
      <c r="K71" s="114" t="e">
        <f t="shared" si="0"/>
        <v>#REF!</v>
      </c>
      <c r="L71" s="114" t="e">
        <f t="shared" si="0"/>
        <v>#REF!</v>
      </c>
      <c r="M71" s="114" t="e">
        <f t="shared" si="1"/>
        <v>#REF!</v>
      </c>
      <c r="N71" s="114" t="e">
        <f t="shared" si="3"/>
        <v>#REF!</v>
      </c>
      <c r="O71" s="114" t="e">
        <f t="shared" si="2"/>
        <v>#REF!</v>
      </c>
      <c r="P71" s="106"/>
      <c r="Q71" s="107">
        <v>13</v>
      </c>
      <c r="R71" s="115" t="e">
        <f t="shared" si="4"/>
        <v>#REF!</v>
      </c>
    </row>
    <row r="72" spans="2:18" s="107" customFormat="1" x14ac:dyDescent="0.5">
      <c r="B72" s="107">
        <v>14</v>
      </c>
      <c r="C72" s="113" t="e">
        <f>#REF!+C71+#REF!*(1+#REF!)^$B72</f>
        <v>#REF!</v>
      </c>
      <c r="D72" s="113" t="e">
        <f>#REF!+D71+#REF!*(1+#REF!)^$B72</f>
        <v>#REF!</v>
      </c>
      <c r="E72" s="113" t="e">
        <f>#REF!+E71+#REF!*(1+#REF!)^$B72</f>
        <v>#REF!</v>
      </c>
      <c r="F72" s="113" t="e">
        <f>#REF!+F71+#REF!*(1+#REF!)^$B72</f>
        <v>#REF!</v>
      </c>
      <c r="G72" s="113" t="e">
        <f>#REF!+G71+#REF!*(1+#REF!)^$B72</f>
        <v>#REF!</v>
      </c>
      <c r="H72" s="113" t="e">
        <f>#REF!+H71+#REF!*(1+#REF!)^$B72</f>
        <v>#REF!</v>
      </c>
      <c r="I72" s="113" t="e">
        <f>#REF!+I71+#REF!*(1+#REF!)^$B72</f>
        <v>#REF!</v>
      </c>
      <c r="J72" s="114" t="e">
        <f t="shared" si="0"/>
        <v>#REF!</v>
      </c>
      <c r="K72" s="114" t="e">
        <f t="shared" si="0"/>
        <v>#REF!</v>
      </c>
      <c r="L72" s="114" t="e">
        <f t="shared" si="0"/>
        <v>#REF!</v>
      </c>
      <c r="M72" s="114" t="e">
        <f t="shared" si="1"/>
        <v>#REF!</v>
      </c>
      <c r="N72" s="114" t="e">
        <f t="shared" si="3"/>
        <v>#REF!</v>
      </c>
      <c r="O72" s="114" t="e">
        <f t="shared" si="2"/>
        <v>#REF!</v>
      </c>
      <c r="P72" s="106"/>
      <c r="Q72" s="107">
        <v>14</v>
      </c>
      <c r="R72" s="115" t="e">
        <f t="shared" si="4"/>
        <v>#REF!</v>
      </c>
    </row>
    <row r="73" spans="2:18" s="107" customFormat="1" x14ac:dyDescent="0.5">
      <c r="B73" s="107">
        <v>15</v>
      </c>
      <c r="C73" s="113" t="e">
        <f>#REF!+C72+#REF!*(1+#REF!)^$B73</f>
        <v>#REF!</v>
      </c>
      <c r="D73" s="113" t="e">
        <f>#REF!+D72+#REF!*(1+#REF!)^$B73</f>
        <v>#REF!</v>
      </c>
      <c r="E73" s="113" t="e">
        <f>#REF!+E72+#REF!*(1+#REF!)^$B73</f>
        <v>#REF!</v>
      </c>
      <c r="F73" s="113" t="e">
        <f>#REF!+F72+#REF!*(1+#REF!)^$B73</f>
        <v>#REF!</v>
      </c>
      <c r="G73" s="113" t="e">
        <f>#REF!+G72+#REF!*(1+#REF!)^$B73</f>
        <v>#REF!</v>
      </c>
      <c r="H73" s="113" t="e">
        <f>#REF!+H72+#REF!*(1+#REF!)^$B73</f>
        <v>#REF!</v>
      </c>
      <c r="I73" s="113" t="e">
        <f>#REF!+I72+#REF!*(1+#REF!)^$B73</f>
        <v>#REF!</v>
      </c>
      <c r="J73" s="114" t="e">
        <f t="shared" si="0"/>
        <v>#REF!</v>
      </c>
      <c r="K73" s="114" t="e">
        <f t="shared" si="0"/>
        <v>#REF!</v>
      </c>
      <c r="L73" s="114" t="e">
        <f t="shared" si="0"/>
        <v>#REF!</v>
      </c>
      <c r="M73" s="114" t="e">
        <f t="shared" si="1"/>
        <v>#REF!</v>
      </c>
      <c r="N73" s="114" t="e">
        <f t="shared" si="3"/>
        <v>#REF!</v>
      </c>
      <c r="O73" s="114" t="e">
        <f t="shared" si="2"/>
        <v>#REF!</v>
      </c>
      <c r="P73" s="106"/>
      <c r="Q73" s="107">
        <v>15</v>
      </c>
      <c r="R73" s="115" t="e">
        <f t="shared" si="4"/>
        <v>#REF!</v>
      </c>
    </row>
    <row r="74" spans="2:18" s="107" customFormat="1" x14ac:dyDescent="0.5">
      <c r="B74" s="107">
        <v>16</v>
      </c>
      <c r="C74" s="113" t="e">
        <f>#REF!+C73+#REF!*(1+#REF!)^$B74</f>
        <v>#REF!</v>
      </c>
      <c r="D74" s="113" t="e">
        <f>#REF!+D73+#REF!*(1+#REF!)^$B74</f>
        <v>#REF!</v>
      </c>
      <c r="E74" s="113" t="e">
        <f>#REF!+E73+#REF!*(1+#REF!)^$B74</f>
        <v>#REF!</v>
      </c>
      <c r="F74" s="113" t="e">
        <f>#REF!+F73+#REF!*(1+#REF!)^$B74</f>
        <v>#REF!</v>
      </c>
      <c r="G74" s="113" t="e">
        <f>#REF!+G73+#REF!*(1+#REF!)^$B74</f>
        <v>#REF!</v>
      </c>
      <c r="H74" s="113" t="e">
        <f>#REF!+H73+#REF!*(1+#REF!)^$B74</f>
        <v>#REF!</v>
      </c>
      <c r="I74" s="113" t="e">
        <f>#REF!+I73+#REF!*(1+#REF!)^$B74</f>
        <v>#REF!</v>
      </c>
      <c r="J74" s="114" t="e">
        <f t="shared" si="0"/>
        <v>#REF!</v>
      </c>
      <c r="K74" s="114" t="e">
        <f t="shared" si="0"/>
        <v>#REF!</v>
      </c>
      <c r="L74" s="114" t="e">
        <f t="shared" si="0"/>
        <v>#REF!</v>
      </c>
      <c r="M74" s="114" t="e">
        <f t="shared" si="1"/>
        <v>#REF!</v>
      </c>
      <c r="N74" s="114" t="e">
        <f t="shared" si="3"/>
        <v>#REF!</v>
      </c>
      <c r="O74" s="114" t="e">
        <f t="shared" si="2"/>
        <v>#REF!</v>
      </c>
      <c r="P74" s="106"/>
      <c r="Q74" s="107">
        <v>16</v>
      </c>
      <c r="R74" s="115" t="e">
        <f t="shared" si="4"/>
        <v>#REF!</v>
      </c>
    </row>
    <row r="75" spans="2:18" s="107" customFormat="1" x14ac:dyDescent="0.5">
      <c r="B75" s="107">
        <v>17</v>
      </c>
      <c r="C75" s="113" t="e">
        <f>#REF!+C74+#REF!*(1+#REF!)^$B75</f>
        <v>#REF!</v>
      </c>
      <c r="D75" s="113" t="e">
        <f>#REF!+D74+#REF!*(1+#REF!)^$B75</f>
        <v>#REF!</v>
      </c>
      <c r="E75" s="113" t="e">
        <f>#REF!+E74+#REF!*(1+#REF!)^$B75</f>
        <v>#REF!</v>
      </c>
      <c r="F75" s="113" t="e">
        <f>#REF!+F74+#REF!*(1+#REF!)^$B75</f>
        <v>#REF!</v>
      </c>
      <c r="G75" s="113" t="e">
        <f>#REF!+G74+#REF!*(1+#REF!)^$B75</f>
        <v>#REF!</v>
      </c>
      <c r="H75" s="113" t="e">
        <f>#REF!+H74+#REF!*(1+#REF!)^$B75</f>
        <v>#REF!</v>
      </c>
      <c r="I75" s="113" t="e">
        <f>#REF!+I74+#REF!*(1+#REF!)^$B75</f>
        <v>#REF!</v>
      </c>
      <c r="J75" s="114" t="e">
        <f t="shared" si="0"/>
        <v>#REF!</v>
      </c>
      <c r="K75" s="114" t="e">
        <f t="shared" si="0"/>
        <v>#REF!</v>
      </c>
      <c r="L75" s="114" t="e">
        <f t="shared" si="0"/>
        <v>#REF!</v>
      </c>
      <c r="M75" s="114" t="e">
        <f t="shared" si="1"/>
        <v>#REF!</v>
      </c>
      <c r="N75" s="114" t="e">
        <f t="shared" si="3"/>
        <v>#REF!</v>
      </c>
      <c r="O75" s="114" t="e">
        <f t="shared" si="2"/>
        <v>#REF!</v>
      </c>
      <c r="P75" s="106"/>
      <c r="Q75" s="107">
        <v>17</v>
      </c>
      <c r="R75" s="115" t="e">
        <f t="shared" si="4"/>
        <v>#REF!</v>
      </c>
    </row>
    <row r="76" spans="2:18" s="107" customFormat="1" x14ac:dyDescent="0.5">
      <c r="B76" s="107">
        <v>18</v>
      </c>
      <c r="C76" s="113" t="e">
        <f>#REF!+C75+#REF!*(1+#REF!)^$B76</f>
        <v>#REF!</v>
      </c>
      <c r="D76" s="113" t="e">
        <f>#REF!+D75+#REF!*(1+#REF!)^$B76</f>
        <v>#REF!</v>
      </c>
      <c r="E76" s="113" t="e">
        <f>#REF!+E75+#REF!*(1+#REF!)^$B76</f>
        <v>#REF!</v>
      </c>
      <c r="F76" s="113" t="e">
        <f>#REF!+F75+#REF!*(1+#REF!)^$B76</f>
        <v>#REF!</v>
      </c>
      <c r="G76" s="113" t="e">
        <f>#REF!+G75+#REF!*(1+#REF!)^$B76</f>
        <v>#REF!</v>
      </c>
      <c r="H76" s="113" t="e">
        <f>#REF!+H75+#REF!*(1+#REF!)^$B76</f>
        <v>#REF!</v>
      </c>
      <c r="I76" s="113" t="e">
        <f>#REF!+I75+#REF!*(1+#REF!)^$B76</f>
        <v>#REF!</v>
      </c>
      <c r="J76" s="114" t="e">
        <f t="shared" si="0"/>
        <v>#REF!</v>
      </c>
      <c r="K76" s="114" t="e">
        <f t="shared" si="0"/>
        <v>#REF!</v>
      </c>
      <c r="L76" s="114" t="e">
        <f t="shared" si="0"/>
        <v>#REF!</v>
      </c>
      <c r="M76" s="114" t="e">
        <f t="shared" si="1"/>
        <v>#REF!</v>
      </c>
      <c r="N76" s="114" t="e">
        <f t="shared" si="3"/>
        <v>#REF!</v>
      </c>
      <c r="O76" s="114" t="e">
        <f t="shared" si="2"/>
        <v>#REF!</v>
      </c>
      <c r="P76" s="106"/>
      <c r="Q76" s="107">
        <v>18</v>
      </c>
      <c r="R76" s="115" t="e">
        <f t="shared" si="4"/>
        <v>#REF!</v>
      </c>
    </row>
    <row r="77" spans="2:18" s="107" customFormat="1" x14ac:dyDescent="0.5">
      <c r="B77" s="107">
        <v>19</v>
      </c>
      <c r="C77" s="113" t="e">
        <f>#REF!+C76+#REF!*(1+#REF!)^$B77</f>
        <v>#REF!</v>
      </c>
      <c r="D77" s="113" t="e">
        <f>#REF!+D76+#REF!*(1+#REF!)^$B77</f>
        <v>#REF!</v>
      </c>
      <c r="E77" s="113" t="e">
        <f>#REF!+E76+#REF!*(1+#REF!)^$B77</f>
        <v>#REF!</v>
      </c>
      <c r="F77" s="113" t="e">
        <f>#REF!+F76+#REF!*(1+#REF!)^$B77</f>
        <v>#REF!</v>
      </c>
      <c r="G77" s="113" t="e">
        <f>#REF!+G76+#REF!*(1+#REF!)^$B77</f>
        <v>#REF!</v>
      </c>
      <c r="H77" s="113" t="e">
        <f>#REF!+H76+#REF!*(1+#REF!)^$B77</f>
        <v>#REF!</v>
      </c>
      <c r="I77" s="113" t="e">
        <f>#REF!+I76+#REF!*(1+#REF!)^$B77</f>
        <v>#REF!</v>
      </c>
      <c r="J77" s="114" t="e">
        <f t="shared" si="0"/>
        <v>#REF!</v>
      </c>
      <c r="K77" s="114" t="e">
        <f t="shared" si="0"/>
        <v>#REF!</v>
      </c>
      <c r="L77" s="114" t="e">
        <f t="shared" si="0"/>
        <v>#REF!</v>
      </c>
      <c r="M77" s="114" t="e">
        <f t="shared" si="1"/>
        <v>#REF!</v>
      </c>
      <c r="N77" s="114" t="e">
        <f t="shared" si="3"/>
        <v>#REF!</v>
      </c>
      <c r="O77" s="114" t="e">
        <f t="shared" si="2"/>
        <v>#REF!</v>
      </c>
      <c r="P77" s="106"/>
      <c r="Q77" s="107">
        <v>19</v>
      </c>
      <c r="R77" s="115" t="e">
        <f t="shared" si="4"/>
        <v>#REF!</v>
      </c>
    </row>
    <row r="78" spans="2:18" s="107" customFormat="1" x14ac:dyDescent="0.5">
      <c r="B78" s="107">
        <v>20</v>
      </c>
      <c r="C78" s="113" t="e">
        <f>#REF!+C77+#REF!*(1+#REF!)^$B78</f>
        <v>#REF!</v>
      </c>
      <c r="D78" s="113" t="e">
        <f>#REF!+D77+#REF!*(1+#REF!)^$B78</f>
        <v>#REF!</v>
      </c>
      <c r="E78" s="113" t="e">
        <f>#REF!+E77+#REF!*(1+#REF!)^$B78</f>
        <v>#REF!</v>
      </c>
      <c r="F78" s="113" t="e">
        <f>#REF!+F77+#REF!*(1+#REF!)^$B78</f>
        <v>#REF!</v>
      </c>
      <c r="G78" s="113" t="e">
        <f>#REF!+G77+#REF!*(1+#REF!)^$B78</f>
        <v>#REF!</v>
      </c>
      <c r="H78" s="113" t="e">
        <f>#REF!+H77+#REF!*(1+#REF!)^$B78</f>
        <v>#REF!</v>
      </c>
      <c r="I78" s="113" t="e">
        <f>#REF!+I77+#REF!*(1+#REF!)^$B78</f>
        <v>#REF!</v>
      </c>
      <c r="J78" s="114" t="e">
        <f t="shared" si="0"/>
        <v>#REF!</v>
      </c>
      <c r="K78" s="114" t="e">
        <f t="shared" si="0"/>
        <v>#REF!</v>
      </c>
      <c r="L78" s="114" t="e">
        <f t="shared" si="0"/>
        <v>#REF!</v>
      </c>
      <c r="M78" s="114" t="e">
        <f t="shared" si="1"/>
        <v>#REF!</v>
      </c>
      <c r="N78" s="114" t="e">
        <f t="shared" si="3"/>
        <v>#REF!</v>
      </c>
      <c r="O78" s="114" t="e">
        <f t="shared" si="2"/>
        <v>#REF!</v>
      </c>
      <c r="P78" s="106"/>
      <c r="Q78" s="107">
        <v>20</v>
      </c>
      <c r="R78" s="115" t="e">
        <f t="shared" si="4"/>
        <v>#REF!</v>
      </c>
    </row>
    <row r="79" spans="2:18" s="107" customFormat="1" x14ac:dyDescent="0.5">
      <c r="B79" s="107">
        <v>21</v>
      </c>
      <c r="C79" s="113" t="e">
        <f>#REF!+C78+#REF!*(1+#REF!)^$B79</f>
        <v>#REF!</v>
      </c>
      <c r="D79" s="113" t="e">
        <f>#REF!+D78+#REF!*(1+#REF!)^$B79</f>
        <v>#REF!</v>
      </c>
      <c r="E79" s="113" t="e">
        <f>#REF!+E78+#REF!*(1+#REF!)^$B79</f>
        <v>#REF!</v>
      </c>
      <c r="F79" s="113" t="e">
        <f>#REF!+F78+#REF!*(1+#REF!)^$B79</f>
        <v>#REF!</v>
      </c>
      <c r="G79" s="113" t="e">
        <f>#REF!+G78+#REF!*(1+#REF!)^$B79</f>
        <v>#REF!</v>
      </c>
      <c r="H79" s="113" t="e">
        <f>#REF!+H78+#REF!*(1+#REF!)^$B79</f>
        <v>#REF!</v>
      </c>
      <c r="I79" s="113" t="e">
        <f>#REF!+I78+#REF!*(1+#REF!)^$B79</f>
        <v>#REF!</v>
      </c>
      <c r="J79" s="114" t="e">
        <f t="shared" si="0"/>
        <v>#REF!</v>
      </c>
      <c r="K79" s="114" t="e">
        <f t="shared" si="0"/>
        <v>#REF!</v>
      </c>
      <c r="L79" s="114" t="e">
        <f t="shared" si="0"/>
        <v>#REF!</v>
      </c>
      <c r="M79" s="114" t="e">
        <f t="shared" si="1"/>
        <v>#REF!</v>
      </c>
      <c r="N79" s="114" t="e">
        <f t="shared" si="3"/>
        <v>#REF!</v>
      </c>
      <c r="O79" s="114" t="e">
        <f t="shared" si="2"/>
        <v>#REF!</v>
      </c>
      <c r="P79" s="106"/>
      <c r="R79" s="4"/>
    </row>
    <row r="80" spans="2:18" s="107" customFormat="1" x14ac:dyDescent="0.5">
      <c r="B80" s="107">
        <v>22</v>
      </c>
      <c r="C80" s="113" t="e">
        <f>#REF!+C79+#REF!*(1+#REF!)^$B80</f>
        <v>#REF!</v>
      </c>
      <c r="D80" s="113" t="e">
        <f>#REF!+D79+#REF!*(1+#REF!)^$B80</f>
        <v>#REF!</v>
      </c>
      <c r="E80" s="113" t="e">
        <f>#REF!+E79+#REF!*(1+#REF!)^$B80</f>
        <v>#REF!</v>
      </c>
      <c r="F80" s="113" t="e">
        <f>#REF!+F79+#REF!*(1+#REF!)^$B80</f>
        <v>#REF!</v>
      </c>
      <c r="G80" s="113" t="e">
        <f>#REF!+G79+#REF!*(1+#REF!)^$B80</f>
        <v>#REF!</v>
      </c>
      <c r="H80" s="113" t="e">
        <f>#REF!+H79+#REF!*(1+#REF!)^$B80</f>
        <v>#REF!</v>
      </c>
      <c r="I80" s="113" t="e">
        <f>#REF!+I79+#REF!*(1+#REF!)^$B80</f>
        <v>#REF!</v>
      </c>
      <c r="J80" s="114" t="e">
        <f t="shared" si="0"/>
        <v>#REF!</v>
      </c>
      <c r="K80" s="114" t="e">
        <f t="shared" si="0"/>
        <v>#REF!</v>
      </c>
      <c r="L80" s="114" t="e">
        <f t="shared" si="0"/>
        <v>#REF!</v>
      </c>
      <c r="M80" s="114" t="e">
        <f t="shared" si="1"/>
        <v>#REF!</v>
      </c>
      <c r="N80" s="114" t="e">
        <f t="shared" si="3"/>
        <v>#REF!</v>
      </c>
      <c r="O80" s="114" t="e">
        <f t="shared" si="2"/>
        <v>#REF!</v>
      </c>
      <c r="P80" s="106"/>
      <c r="R80" s="4"/>
    </row>
    <row r="81" spans="2:18" s="107" customFormat="1" x14ac:dyDescent="0.5">
      <c r="B81" s="107">
        <v>23</v>
      </c>
      <c r="C81" s="113" t="e">
        <f>#REF!+C80+#REF!*(1+#REF!)^$B81</f>
        <v>#REF!</v>
      </c>
      <c r="D81" s="113" t="e">
        <f>#REF!+D80+#REF!*(1+#REF!)^$B81</f>
        <v>#REF!</v>
      </c>
      <c r="E81" s="113" t="e">
        <f>#REF!+E80+#REF!*(1+#REF!)^$B81</f>
        <v>#REF!</v>
      </c>
      <c r="F81" s="113" t="e">
        <f>#REF!+F80+#REF!*(1+#REF!)^$B81</f>
        <v>#REF!</v>
      </c>
      <c r="G81" s="113" t="e">
        <f>#REF!+G80+#REF!*(1+#REF!)^$B81</f>
        <v>#REF!</v>
      </c>
      <c r="H81" s="113" t="e">
        <f>#REF!+H80+#REF!*(1+#REF!)^$B81</f>
        <v>#REF!</v>
      </c>
      <c r="I81" s="113" t="e">
        <f>#REF!+I80+#REF!*(1+#REF!)^$B81</f>
        <v>#REF!</v>
      </c>
      <c r="J81" s="114" t="e">
        <f t="shared" si="0"/>
        <v>#REF!</v>
      </c>
      <c r="K81" s="114" t="e">
        <f t="shared" si="0"/>
        <v>#REF!</v>
      </c>
      <c r="L81" s="114" t="e">
        <f t="shared" si="0"/>
        <v>#REF!</v>
      </c>
      <c r="M81" s="114" t="e">
        <f t="shared" si="1"/>
        <v>#REF!</v>
      </c>
      <c r="N81" s="114" t="e">
        <f t="shared" si="3"/>
        <v>#REF!</v>
      </c>
      <c r="O81" s="114" t="e">
        <f t="shared" si="2"/>
        <v>#REF!</v>
      </c>
      <c r="P81" s="106"/>
      <c r="R81" s="4"/>
    </row>
    <row r="82" spans="2:18" s="107" customFormat="1" x14ac:dyDescent="0.5">
      <c r="B82" s="107">
        <v>24</v>
      </c>
      <c r="C82" s="113" t="e">
        <f>#REF!+C81+#REF!*(1+#REF!)^$B82</f>
        <v>#REF!</v>
      </c>
      <c r="D82" s="113" t="e">
        <f>#REF!+D81+#REF!*(1+#REF!)^$B82</f>
        <v>#REF!</v>
      </c>
      <c r="E82" s="113" t="e">
        <f>#REF!+E81+#REF!*(1+#REF!)^$B82</f>
        <v>#REF!</v>
      </c>
      <c r="F82" s="113" t="e">
        <f>#REF!+F81+#REF!*(1+#REF!)^$B82</f>
        <v>#REF!</v>
      </c>
      <c r="G82" s="113" t="e">
        <f>#REF!+G81+#REF!*(1+#REF!)^$B82</f>
        <v>#REF!</v>
      </c>
      <c r="H82" s="113" t="e">
        <f>#REF!+H81+#REF!*(1+#REF!)^$B82</f>
        <v>#REF!</v>
      </c>
      <c r="I82" s="113" t="e">
        <f>#REF!+I81+#REF!*(1+#REF!)^$B82</f>
        <v>#REF!</v>
      </c>
      <c r="J82" s="114" t="e">
        <f t="shared" si="0"/>
        <v>#REF!</v>
      </c>
      <c r="K82" s="114" t="e">
        <f t="shared" si="0"/>
        <v>#REF!</v>
      </c>
      <c r="L82" s="114" t="e">
        <f t="shared" si="0"/>
        <v>#REF!</v>
      </c>
      <c r="M82" s="114" t="e">
        <f t="shared" si="1"/>
        <v>#REF!</v>
      </c>
      <c r="N82" s="114" t="e">
        <f t="shared" si="3"/>
        <v>#REF!</v>
      </c>
      <c r="O82" s="114" t="e">
        <f t="shared" si="2"/>
        <v>#REF!</v>
      </c>
      <c r="P82" s="106"/>
      <c r="R82" s="4"/>
    </row>
    <row r="83" spans="2:18" s="107" customFormat="1" x14ac:dyDescent="0.5">
      <c r="B83" s="107">
        <v>25</v>
      </c>
      <c r="C83" s="113" t="e">
        <f>#REF!+C82+#REF!*(1+#REF!)^$B83</f>
        <v>#REF!</v>
      </c>
      <c r="D83" s="113" t="e">
        <f>#REF!+D82+#REF!*(1+#REF!)^$B83</f>
        <v>#REF!</v>
      </c>
      <c r="E83" s="113" t="e">
        <f>#REF!+E82+#REF!*(1+#REF!)^$B83</f>
        <v>#REF!</v>
      </c>
      <c r="F83" s="113" t="e">
        <f>#REF!+F82+#REF!*(1+#REF!)^$B83</f>
        <v>#REF!</v>
      </c>
      <c r="G83" s="113" t="e">
        <f>#REF!+G82+#REF!*(1+#REF!)^$B83</f>
        <v>#REF!</v>
      </c>
      <c r="H83" s="113" t="e">
        <f>#REF!+H82+#REF!*(1+#REF!)^$B83</f>
        <v>#REF!</v>
      </c>
      <c r="I83" s="113" t="e">
        <f>#REF!+I82+#REF!*(1+#REF!)^$B83</f>
        <v>#REF!</v>
      </c>
      <c r="J83" s="106" t="e">
        <f t="shared" si="0"/>
        <v>#REF!</v>
      </c>
      <c r="K83" s="106" t="e">
        <f t="shared" si="0"/>
        <v>#REF!</v>
      </c>
      <c r="L83" s="106" t="e">
        <f t="shared" si="0"/>
        <v>#REF!</v>
      </c>
      <c r="M83" s="106" t="e">
        <f t="shared" si="1"/>
        <v>#REF!</v>
      </c>
      <c r="N83" s="114" t="e">
        <f t="shared" si="3"/>
        <v>#REF!</v>
      </c>
      <c r="O83" s="106" t="e">
        <f t="shared" si="2"/>
        <v>#REF!</v>
      </c>
      <c r="P83" s="106"/>
      <c r="R83" s="4"/>
    </row>
    <row r="84" spans="2:18" s="107" customFormat="1" x14ac:dyDescent="0.5">
      <c r="F84" s="106"/>
      <c r="P84" s="107">
        <f>SUM(P59:P83)</f>
        <v>0</v>
      </c>
      <c r="R84" s="4"/>
    </row>
    <row r="85" spans="2:18" s="107" customFormat="1" x14ac:dyDescent="0.5">
      <c r="F85" s="106"/>
      <c r="G85" s="106"/>
      <c r="H85" s="106"/>
      <c r="I85" s="106"/>
      <c r="J85" s="106"/>
      <c r="K85" s="106"/>
      <c r="L85" s="106"/>
      <c r="R85" s="4"/>
    </row>
    <row r="86" spans="2:18" s="107" customFormat="1" ht="64.5" x14ac:dyDescent="0.5">
      <c r="C86" s="111" t="s">
        <v>42</v>
      </c>
      <c r="D86" s="111" t="s">
        <v>43</v>
      </c>
      <c r="E86" s="111" t="s">
        <v>47</v>
      </c>
      <c r="F86" s="111" t="s">
        <v>61</v>
      </c>
      <c r="G86" s="111" t="s">
        <v>51</v>
      </c>
      <c r="H86" s="111" t="s">
        <v>56</v>
      </c>
      <c r="I86" s="116"/>
      <c r="J86" s="106"/>
      <c r="K86" s="106"/>
      <c r="L86" s="106"/>
    </row>
    <row r="87" spans="2:18" s="107" customFormat="1" x14ac:dyDescent="0.5">
      <c r="C87" s="117" t="e">
        <f>SUM(J59:J83)</f>
        <v>#REF!</v>
      </c>
      <c r="D87" s="117" t="e">
        <f>SUM(K59:K83)</f>
        <v>#REF!</v>
      </c>
      <c r="E87" s="117" t="e">
        <f>SUM(L59:L83)</f>
        <v>#REF!</v>
      </c>
      <c r="F87" s="117" t="e">
        <f>SUM(N59:N83)</f>
        <v>#REF!</v>
      </c>
      <c r="G87" s="117" t="e">
        <f>SUM(M59:M83)</f>
        <v>#REF!</v>
      </c>
      <c r="H87" s="117" t="e">
        <f>SUM(O59:O83)</f>
        <v>#REF!</v>
      </c>
      <c r="I87" s="116"/>
      <c r="J87" s="106"/>
      <c r="K87" s="106"/>
      <c r="L87" s="106"/>
    </row>
    <row r="88" spans="2:18" s="107" customFormat="1" x14ac:dyDescent="0.5">
      <c r="C88" s="114" t="e">
        <f t="shared" ref="C88:H88" si="5">IF(C87=0,1,C87)</f>
        <v>#REF!</v>
      </c>
      <c r="D88" s="114" t="e">
        <f t="shared" si="5"/>
        <v>#REF!</v>
      </c>
      <c r="E88" s="114" t="e">
        <f t="shared" si="5"/>
        <v>#REF!</v>
      </c>
      <c r="F88" s="114" t="e">
        <f t="shared" si="5"/>
        <v>#REF!</v>
      </c>
      <c r="G88" s="114" t="e">
        <f t="shared" si="5"/>
        <v>#REF!</v>
      </c>
      <c r="H88" s="114" t="e">
        <f t="shared" si="5"/>
        <v>#REF!</v>
      </c>
      <c r="I88" s="106"/>
      <c r="J88" s="106"/>
      <c r="K88" s="106"/>
      <c r="L88" s="106"/>
    </row>
    <row r="89" spans="2:18" s="107" customFormat="1" x14ac:dyDescent="0.5">
      <c r="C89" s="118" t="e">
        <f t="shared" ref="C89:H89" si="6">IF(C88=0,1,1/C88)</f>
        <v>#REF!</v>
      </c>
      <c r="D89" s="118" t="e">
        <f t="shared" si="6"/>
        <v>#REF!</v>
      </c>
      <c r="E89" s="118" t="e">
        <f t="shared" si="6"/>
        <v>#REF!</v>
      </c>
      <c r="F89" s="118" t="e">
        <f t="shared" si="6"/>
        <v>#REF!</v>
      </c>
      <c r="G89" s="118" t="e">
        <f t="shared" si="6"/>
        <v>#REF!</v>
      </c>
      <c r="H89" s="118" t="e">
        <f t="shared" si="6"/>
        <v>#REF!</v>
      </c>
      <c r="I89" s="106"/>
      <c r="J89" s="106"/>
      <c r="K89" s="106"/>
      <c r="L89" s="106"/>
    </row>
    <row r="90" spans="2:18" x14ac:dyDescent="0.5">
      <c r="B90" s="107"/>
      <c r="C90" s="107"/>
      <c r="D90" s="107"/>
      <c r="E90" s="107"/>
      <c r="F90" s="106"/>
      <c r="G90" s="106"/>
      <c r="H90" s="106"/>
      <c r="I90" s="106"/>
      <c r="J90" s="106"/>
      <c r="K90" s="106"/>
      <c r="L90" s="106"/>
      <c r="M90" s="107"/>
      <c r="N90" s="107"/>
      <c r="O90" s="107"/>
      <c r="P90" s="107"/>
      <c r="Q90" s="107"/>
    </row>
    <row r="91" spans="2:18" x14ac:dyDescent="0.5">
      <c r="B91" s="107"/>
      <c r="C91" s="107"/>
      <c r="D91" s="107"/>
      <c r="E91" s="107"/>
      <c r="F91" s="106"/>
      <c r="G91" s="106"/>
      <c r="H91" s="106"/>
      <c r="I91" s="106"/>
      <c r="J91" s="106"/>
      <c r="K91" s="106"/>
      <c r="L91" s="106"/>
      <c r="M91" s="107"/>
      <c r="N91" s="107"/>
      <c r="O91" s="107"/>
      <c r="P91" s="107"/>
      <c r="Q91" s="107"/>
    </row>
    <row r="92" spans="2:18" x14ac:dyDescent="0.5">
      <c r="B92" s="107"/>
      <c r="C92" s="119"/>
      <c r="D92" s="107"/>
      <c r="E92" s="107"/>
      <c r="F92" s="106"/>
      <c r="G92" s="107"/>
      <c r="H92" s="106"/>
      <c r="I92" s="106"/>
      <c r="J92" s="106"/>
      <c r="K92" s="106"/>
      <c r="L92" s="106"/>
      <c r="M92" s="107"/>
      <c r="N92" s="107"/>
      <c r="O92" s="107"/>
      <c r="P92" s="107"/>
      <c r="Q92" s="107"/>
    </row>
    <row r="93" spans="2:18" x14ac:dyDescent="0.5">
      <c r="B93" s="107"/>
      <c r="C93" s="107"/>
      <c r="D93" s="107"/>
      <c r="E93" s="107"/>
      <c r="F93" s="106"/>
      <c r="G93" s="106"/>
      <c r="H93" s="106"/>
      <c r="I93" s="106"/>
      <c r="J93" s="106"/>
      <c r="K93" s="106"/>
      <c r="L93" s="106"/>
      <c r="M93" s="107"/>
      <c r="N93" s="107"/>
      <c r="O93" s="107"/>
      <c r="P93" s="107"/>
      <c r="Q93" s="107"/>
    </row>
    <row r="94" spans="2:18" x14ac:dyDescent="0.5">
      <c r="B94" s="107"/>
      <c r="C94" s="107"/>
      <c r="D94" s="107"/>
      <c r="E94" s="107"/>
      <c r="F94" s="106"/>
      <c r="G94" s="106"/>
      <c r="H94" s="106"/>
      <c r="I94" s="106"/>
      <c r="J94" s="106"/>
      <c r="K94" s="106"/>
      <c r="L94" s="106"/>
      <c r="M94" s="107"/>
      <c r="N94" s="107"/>
      <c r="O94" s="107"/>
      <c r="P94" s="107"/>
      <c r="Q94" s="107"/>
    </row>
    <row r="95" spans="2:18" x14ac:dyDescent="0.5">
      <c r="B95" s="107"/>
      <c r="C95" s="116" t="s">
        <v>42</v>
      </c>
      <c r="D95" s="116" t="s">
        <v>43</v>
      </c>
      <c r="E95" s="116" t="s">
        <v>47</v>
      </c>
      <c r="F95" s="116" t="s">
        <v>62</v>
      </c>
      <c r="G95" s="116" t="s">
        <v>51</v>
      </c>
      <c r="H95" s="116" t="s">
        <v>56</v>
      </c>
      <c r="I95" s="116" t="s">
        <v>57</v>
      </c>
      <c r="J95" s="106"/>
      <c r="K95" s="106"/>
      <c r="L95" s="106"/>
      <c r="M95" s="107"/>
      <c r="N95" s="107"/>
      <c r="O95" s="107"/>
      <c r="P95" s="107"/>
      <c r="Q95" s="107"/>
    </row>
    <row r="96" spans="2:18" x14ac:dyDescent="0.5">
      <c r="B96" s="107" t="s">
        <v>34</v>
      </c>
      <c r="C96" s="113" t="e">
        <f>#REF!*#REF!+#REF!/#REF!*#REF!</f>
        <v>#REF!</v>
      </c>
      <c r="D96" s="113" t="e">
        <f>#REF!*#REF!+#REF!/#REF!*#REF!</f>
        <v>#REF!</v>
      </c>
      <c r="E96" s="113" t="e">
        <f>#REF!*#REF!+#REF!/#REF!*#REF!</f>
        <v>#REF!</v>
      </c>
      <c r="F96" s="113" t="e">
        <f>#REF!*#REF!+#REF!/#REF!*#REF!</f>
        <v>#REF!</v>
      </c>
      <c r="G96" s="113" t="e">
        <f>#REF!*#REF!+#REF!/#REF!*#REF!</f>
        <v>#REF!</v>
      </c>
      <c r="H96" s="113" t="e">
        <f>#REF!*#REF!+#REF!/#REF!*#REF!</f>
        <v>#REF!</v>
      </c>
      <c r="I96" s="113" t="e">
        <f>#REF!*#REF!+#REF!*#REF!</f>
        <v>#REF!</v>
      </c>
      <c r="J96" s="106"/>
      <c r="K96" s="106"/>
      <c r="L96" s="106"/>
      <c r="M96" s="107"/>
      <c r="N96" s="107"/>
      <c r="O96" s="107"/>
      <c r="P96" s="107"/>
      <c r="Q96" s="107"/>
    </row>
    <row r="97" spans="2:17" x14ac:dyDescent="0.5">
      <c r="B97" s="107"/>
      <c r="C97" s="120" t="e">
        <f t="shared" ref="C97:I97" si="7">C96/$I$96</f>
        <v>#REF!</v>
      </c>
      <c r="D97" s="120" t="e">
        <f t="shared" si="7"/>
        <v>#REF!</v>
      </c>
      <c r="E97" s="120" t="e">
        <f t="shared" si="7"/>
        <v>#REF!</v>
      </c>
      <c r="F97" s="120" t="e">
        <f t="shared" si="7"/>
        <v>#REF!</v>
      </c>
      <c r="G97" s="120" t="e">
        <f t="shared" si="7"/>
        <v>#REF!</v>
      </c>
      <c r="H97" s="120" t="e">
        <f t="shared" si="7"/>
        <v>#REF!</v>
      </c>
      <c r="I97" s="120" t="e">
        <f t="shared" si="7"/>
        <v>#REF!</v>
      </c>
      <c r="J97" s="106"/>
      <c r="K97" s="106"/>
      <c r="L97" s="106"/>
      <c r="M97" s="107"/>
      <c r="N97" s="107"/>
      <c r="O97" s="107"/>
      <c r="P97" s="107"/>
      <c r="Q97" s="107"/>
    </row>
    <row r="98" spans="2:17" x14ac:dyDescent="0.5">
      <c r="B98" s="107"/>
      <c r="C98" s="107"/>
      <c r="D98" s="107"/>
      <c r="E98" s="107"/>
      <c r="F98" s="107"/>
      <c r="G98" s="107"/>
      <c r="H98" s="107"/>
      <c r="I98" s="107"/>
      <c r="J98" s="106"/>
      <c r="K98" s="106"/>
      <c r="L98" s="106"/>
      <c r="M98" s="107"/>
      <c r="N98" s="107"/>
      <c r="O98" s="107"/>
      <c r="P98" s="107"/>
      <c r="Q98" s="107"/>
    </row>
    <row r="99" spans="2:17" x14ac:dyDescent="0.5">
      <c r="B99" s="107"/>
      <c r="C99" s="107"/>
      <c r="D99" s="107"/>
      <c r="E99" s="107"/>
      <c r="F99" s="106"/>
      <c r="G99" s="106"/>
      <c r="H99" s="106"/>
      <c r="I99" s="106"/>
      <c r="J99" s="106"/>
      <c r="K99" s="106"/>
      <c r="L99" s="106"/>
      <c r="M99" s="107"/>
      <c r="N99" s="107"/>
      <c r="O99" s="107"/>
      <c r="P99" s="107"/>
      <c r="Q99" s="107"/>
    </row>
    <row r="100" spans="2:17" x14ac:dyDescent="0.5">
      <c r="B100" s="107"/>
      <c r="C100" s="107"/>
      <c r="D100" s="107"/>
      <c r="E100" s="107"/>
      <c r="F100" s="106"/>
      <c r="G100" s="106"/>
      <c r="H100" s="106"/>
      <c r="I100" s="106"/>
      <c r="J100" s="106"/>
      <c r="K100" s="106"/>
      <c r="L100" s="106"/>
      <c r="M100" s="107"/>
      <c r="N100" s="107"/>
      <c r="O100" s="107"/>
      <c r="P100" s="107"/>
      <c r="Q100" s="107"/>
    </row>
    <row r="101" spans="2:17" x14ac:dyDescent="0.5">
      <c r="B101" s="107"/>
      <c r="C101" s="116" t="s">
        <v>42</v>
      </c>
      <c r="D101" s="116" t="s">
        <v>43</v>
      </c>
      <c r="E101" s="116" t="s">
        <v>47</v>
      </c>
      <c r="F101" s="116" t="s">
        <v>62</v>
      </c>
      <c r="G101" s="116" t="s">
        <v>51</v>
      </c>
      <c r="H101" s="116" t="s">
        <v>56</v>
      </c>
      <c r="I101" s="116" t="s">
        <v>57</v>
      </c>
      <c r="J101" s="106"/>
      <c r="K101" s="106"/>
      <c r="L101" s="106"/>
      <c r="M101" s="107"/>
      <c r="N101" s="107"/>
      <c r="O101" s="107"/>
      <c r="P101" s="107"/>
      <c r="Q101" s="107"/>
    </row>
    <row r="102" spans="2:17" x14ac:dyDescent="0.5">
      <c r="B102" s="107" t="s">
        <v>35</v>
      </c>
      <c r="C102" s="113" t="e">
        <f>#REF!*#REF!+#REF!/#REF!*#REF!</f>
        <v>#REF!</v>
      </c>
      <c r="D102" s="113" t="e">
        <f>#REF!*#REF!+#REF!/#REF!*#REF!</f>
        <v>#REF!</v>
      </c>
      <c r="E102" s="113" t="e">
        <f>#REF!*#REF!+#REF!/#REF!*#REF!</f>
        <v>#REF!</v>
      </c>
      <c r="F102" s="113" t="e">
        <f>#REF!*#REF!+#REF!/#REF!*#REF!</f>
        <v>#REF!</v>
      </c>
      <c r="G102" s="113" t="e">
        <f>#REF!*#REF!+#REF!/#REF!*#REF!</f>
        <v>#REF!</v>
      </c>
      <c r="H102" s="113" t="e">
        <f>#REF!*#REF!+#REF!/#REF!*#REF!</f>
        <v>#REF!</v>
      </c>
      <c r="I102" s="113" t="e">
        <f>#REF!*#REF!+#REF!/#REF!*#REF!</f>
        <v>#REF!</v>
      </c>
      <c r="J102" s="106"/>
      <c r="K102" s="106"/>
      <c r="L102" s="106"/>
      <c r="M102" s="107"/>
      <c r="N102" s="107"/>
      <c r="O102" s="107"/>
      <c r="P102" s="107"/>
      <c r="Q102" s="107"/>
    </row>
    <row r="103" spans="2:17" x14ac:dyDescent="0.5">
      <c r="B103" s="107"/>
      <c r="C103" s="120" t="e">
        <f t="shared" ref="C103:I103" si="8">C102/$D$102</f>
        <v>#REF!</v>
      </c>
      <c r="D103" s="120" t="e">
        <f t="shared" si="8"/>
        <v>#REF!</v>
      </c>
      <c r="E103" s="120" t="e">
        <f t="shared" si="8"/>
        <v>#REF!</v>
      </c>
      <c r="F103" s="120" t="e">
        <f t="shared" si="8"/>
        <v>#REF!</v>
      </c>
      <c r="G103" s="120" t="e">
        <f t="shared" si="8"/>
        <v>#REF!</v>
      </c>
      <c r="H103" s="120" t="e">
        <f t="shared" si="8"/>
        <v>#REF!</v>
      </c>
      <c r="I103" s="120" t="e">
        <f t="shared" si="8"/>
        <v>#REF!</v>
      </c>
      <c r="J103" s="106"/>
      <c r="K103" s="106"/>
      <c r="L103" s="106"/>
      <c r="M103" s="107"/>
      <c r="N103" s="107"/>
      <c r="O103" s="107"/>
      <c r="P103" s="107"/>
      <c r="Q103" s="107"/>
    </row>
    <row r="104" spans="2:17" x14ac:dyDescent="0.5">
      <c r="B104" s="107"/>
      <c r="C104" s="107"/>
      <c r="D104" s="107"/>
      <c r="E104" s="107"/>
      <c r="F104" s="107"/>
      <c r="G104" s="107"/>
      <c r="H104" s="107"/>
      <c r="I104" s="107"/>
      <c r="J104" s="106"/>
      <c r="K104" s="106"/>
      <c r="L104" s="106"/>
      <c r="M104" s="107"/>
      <c r="N104" s="107"/>
      <c r="O104" s="107"/>
      <c r="P104" s="107"/>
      <c r="Q104" s="107"/>
    </row>
    <row r="105" spans="2:17" x14ac:dyDescent="0.5">
      <c r="B105" s="107"/>
      <c r="C105" s="107"/>
      <c r="D105" s="107"/>
      <c r="E105" s="107"/>
      <c r="F105" s="106"/>
      <c r="G105" s="106"/>
      <c r="H105" s="106"/>
      <c r="I105" s="106"/>
      <c r="J105" s="106"/>
      <c r="K105" s="106"/>
      <c r="L105" s="106"/>
      <c r="M105" s="107"/>
      <c r="N105" s="107"/>
      <c r="O105" s="107"/>
      <c r="P105" s="107"/>
      <c r="Q105" s="107"/>
    </row>
    <row r="106" spans="2:17" x14ac:dyDescent="0.5">
      <c r="B106" s="107"/>
      <c r="C106" s="107"/>
      <c r="D106" s="107"/>
      <c r="E106" s="107"/>
      <c r="F106" s="106"/>
      <c r="G106" s="106"/>
      <c r="H106" s="106"/>
      <c r="I106" s="106"/>
      <c r="J106" s="106"/>
      <c r="K106" s="106"/>
      <c r="L106" s="106"/>
      <c r="M106" s="107"/>
      <c r="N106" s="107"/>
      <c r="O106" s="107"/>
      <c r="P106" s="107"/>
      <c r="Q106" s="107"/>
    </row>
    <row r="107" spans="2:17" x14ac:dyDescent="0.5">
      <c r="B107" s="107"/>
      <c r="C107" s="116" t="s">
        <v>52</v>
      </c>
      <c r="D107" s="116" t="s">
        <v>43</v>
      </c>
      <c r="E107" s="116" t="s">
        <v>47</v>
      </c>
      <c r="F107" s="116" t="s">
        <v>62</v>
      </c>
      <c r="G107" s="116" t="s">
        <v>51</v>
      </c>
      <c r="H107" s="116" t="s">
        <v>56</v>
      </c>
      <c r="I107" s="116" t="s">
        <v>57</v>
      </c>
      <c r="J107" s="106"/>
      <c r="K107" s="106"/>
      <c r="L107" s="106"/>
      <c r="M107" s="107"/>
      <c r="N107" s="107"/>
      <c r="O107" s="107"/>
      <c r="P107" s="107"/>
      <c r="Q107" s="107"/>
    </row>
    <row r="108" spans="2:17" x14ac:dyDescent="0.5">
      <c r="B108" s="107" t="s">
        <v>44</v>
      </c>
      <c r="C108" s="121" t="e">
        <f>#REF!*#REF!</f>
        <v>#REF!</v>
      </c>
      <c r="D108" s="121" t="e">
        <f>#REF!</f>
        <v>#REF!</v>
      </c>
      <c r="E108" s="118">
        <v>0</v>
      </c>
      <c r="F108" s="118">
        <v>0.18</v>
      </c>
      <c r="G108" s="121" t="e">
        <f>#REF!*#REF!</f>
        <v>#REF!</v>
      </c>
      <c r="H108" s="122" t="e">
        <f>(1-1/#REF!)</f>
        <v>#REF!</v>
      </c>
      <c r="I108" s="122" t="e">
        <f>(1-1/#REF!)</f>
        <v>#REF!</v>
      </c>
      <c r="J108" s="106"/>
      <c r="K108" s="106"/>
      <c r="L108" s="106"/>
      <c r="M108" s="107"/>
      <c r="N108" s="107"/>
      <c r="O108" s="107"/>
      <c r="P108" s="107"/>
      <c r="Q108" s="107"/>
    </row>
    <row r="109" spans="2:17" x14ac:dyDescent="0.5">
      <c r="B109" s="107"/>
      <c r="C109" s="113" t="e">
        <f>C108*#REF!</f>
        <v>#REF!</v>
      </c>
      <c r="D109" s="113" t="e">
        <f>D108*#REF!</f>
        <v>#REF!</v>
      </c>
      <c r="E109" s="113" t="e">
        <f>E108*#REF!</f>
        <v>#REF!</v>
      </c>
      <c r="F109" s="113" t="e">
        <f>F108*#REF!</f>
        <v>#REF!</v>
      </c>
      <c r="G109" s="113" t="e">
        <f>G108*#REF!</f>
        <v>#REF!</v>
      </c>
      <c r="H109" s="113" t="e">
        <f>H108*#REF!</f>
        <v>#REF!</v>
      </c>
      <c r="I109" s="113" t="e">
        <f>I108*#REF!</f>
        <v>#REF!</v>
      </c>
      <c r="J109" s="106"/>
      <c r="K109" s="106"/>
      <c r="L109" s="106"/>
      <c r="M109" s="107"/>
      <c r="N109" s="107"/>
      <c r="O109" s="107"/>
      <c r="P109" s="107"/>
      <c r="Q109" s="107"/>
    </row>
    <row r="110" spans="2:17" x14ac:dyDescent="0.5">
      <c r="B110" s="107" t="s">
        <v>65</v>
      </c>
      <c r="C110" s="123" t="e">
        <f>#REF!/C109</f>
        <v>#REF!</v>
      </c>
      <c r="D110" s="123" t="e">
        <f>#REF!/D109</f>
        <v>#REF!</v>
      </c>
      <c r="E110" s="123"/>
      <c r="F110" s="123" t="e">
        <f>#REF!/F109</f>
        <v>#REF!</v>
      </c>
      <c r="G110" s="123" t="e">
        <f>#REF!/G109</f>
        <v>#REF!</v>
      </c>
      <c r="H110" s="123" t="e">
        <f>#REF!/H109</f>
        <v>#REF!</v>
      </c>
      <c r="I110" s="123" t="e">
        <f>#REF!/I109</f>
        <v>#REF!</v>
      </c>
      <c r="J110" s="106"/>
      <c r="K110" s="106"/>
      <c r="L110" s="106"/>
      <c r="M110" s="107"/>
      <c r="N110" s="107"/>
      <c r="O110" s="107"/>
      <c r="P110" s="107"/>
      <c r="Q110" s="107"/>
    </row>
    <row r="111" spans="2:17" x14ac:dyDescent="0.5">
      <c r="B111" s="107"/>
      <c r="C111" s="107"/>
      <c r="D111" s="107"/>
      <c r="E111" s="107"/>
      <c r="F111" s="106"/>
      <c r="G111" s="106"/>
      <c r="H111" s="106"/>
      <c r="I111" s="106"/>
      <c r="J111" s="106"/>
      <c r="K111" s="106"/>
      <c r="L111" s="106"/>
      <c r="M111" s="107"/>
      <c r="N111" s="107"/>
      <c r="O111" s="107"/>
      <c r="P111" s="107"/>
      <c r="Q111" s="107"/>
    </row>
    <row r="112" spans="2:17" x14ac:dyDescent="0.5">
      <c r="B112" s="107"/>
      <c r="C112" s="107"/>
      <c r="D112" s="107"/>
      <c r="E112" s="107"/>
      <c r="F112" s="106"/>
      <c r="G112" s="106"/>
      <c r="H112" s="106"/>
      <c r="I112" s="106"/>
      <c r="J112" s="106"/>
      <c r="K112" s="106"/>
      <c r="L112" s="106"/>
      <c r="M112" s="107"/>
      <c r="N112" s="107"/>
      <c r="O112" s="107"/>
      <c r="P112" s="107"/>
      <c r="Q112" s="107"/>
    </row>
    <row r="113" spans="2:17" x14ac:dyDescent="0.5">
      <c r="B113" s="107"/>
      <c r="C113" s="107"/>
      <c r="D113" s="107"/>
      <c r="E113" s="107"/>
      <c r="F113" s="106"/>
      <c r="G113" s="106"/>
      <c r="H113" s="106"/>
      <c r="I113" s="106"/>
      <c r="J113" s="106"/>
      <c r="K113" s="106"/>
      <c r="L113" s="106"/>
      <c r="M113" s="107"/>
      <c r="N113" s="107"/>
      <c r="O113" s="107"/>
      <c r="P113" s="107"/>
      <c r="Q113" s="107"/>
    </row>
    <row r="114" spans="2:17" x14ac:dyDescent="0.5">
      <c r="B114" s="117"/>
      <c r="C114" s="107"/>
      <c r="D114" s="107"/>
      <c r="E114" s="107"/>
      <c r="F114" s="106"/>
      <c r="G114" s="106"/>
      <c r="H114" s="106"/>
      <c r="I114" s="106"/>
      <c r="J114" s="106"/>
      <c r="K114" s="106"/>
      <c r="L114" s="106"/>
      <c r="M114" s="107"/>
      <c r="N114" s="107"/>
      <c r="O114" s="107"/>
      <c r="P114" s="107"/>
      <c r="Q114" s="107"/>
    </row>
    <row r="115" spans="2:17" x14ac:dyDescent="0.5">
      <c r="B115" s="107"/>
      <c r="C115" s="116"/>
      <c r="D115" s="116"/>
      <c r="E115" s="116"/>
      <c r="F115" s="116"/>
      <c r="G115" s="116"/>
      <c r="H115" s="116"/>
      <c r="I115" s="116"/>
      <c r="J115" s="106"/>
      <c r="K115" s="106"/>
      <c r="L115" s="106"/>
      <c r="M115" s="107"/>
      <c r="N115" s="107"/>
      <c r="O115" s="107"/>
      <c r="P115" s="107"/>
      <c r="Q115" s="107"/>
    </row>
    <row r="116" spans="2:17" x14ac:dyDescent="0.5">
      <c r="B116" s="107"/>
      <c r="C116" s="108"/>
      <c r="D116" s="108"/>
      <c r="E116" s="108"/>
      <c r="F116" s="108"/>
      <c r="G116" s="108"/>
      <c r="H116" s="108"/>
      <c r="I116" s="108"/>
      <c r="J116" s="106"/>
      <c r="K116" s="106"/>
      <c r="L116" s="106"/>
      <c r="M116" s="107"/>
      <c r="N116" s="107"/>
      <c r="O116" s="107"/>
      <c r="P116" s="107"/>
      <c r="Q116" s="107"/>
    </row>
    <row r="117" spans="2:17" x14ac:dyDescent="0.5">
      <c r="B117" s="107"/>
      <c r="C117" s="113"/>
      <c r="D117" s="113"/>
      <c r="E117" s="113"/>
      <c r="F117" s="113"/>
      <c r="G117" s="113"/>
      <c r="H117" s="113"/>
      <c r="I117" s="113"/>
      <c r="J117" s="106"/>
      <c r="K117" s="106"/>
      <c r="L117" s="106"/>
      <c r="M117" s="107"/>
      <c r="N117" s="107"/>
      <c r="O117" s="107"/>
      <c r="P117" s="107"/>
      <c r="Q117" s="107"/>
    </row>
    <row r="118" spans="2:17" x14ac:dyDescent="0.5">
      <c r="B118" s="107"/>
      <c r="C118" s="113"/>
      <c r="D118" s="113"/>
      <c r="E118" s="113"/>
      <c r="F118" s="113"/>
      <c r="G118" s="113"/>
      <c r="H118" s="113"/>
      <c r="I118" s="113"/>
      <c r="J118" s="106"/>
      <c r="K118" s="106"/>
      <c r="L118" s="106"/>
      <c r="M118" s="107"/>
      <c r="N118" s="107"/>
      <c r="O118" s="107"/>
      <c r="P118" s="107"/>
      <c r="Q118" s="107"/>
    </row>
    <row r="119" spans="2:17" x14ac:dyDescent="0.5">
      <c r="B119" s="107"/>
      <c r="C119" s="113"/>
      <c r="D119" s="113"/>
      <c r="E119" s="113"/>
      <c r="F119" s="113"/>
      <c r="G119" s="113"/>
      <c r="H119" s="113"/>
      <c r="I119" s="113"/>
      <c r="J119" s="106"/>
      <c r="K119" s="106"/>
      <c r="L119" s="106"/>
      <c r="M119" s="107"/>
      <c r="N119" s="107"/>
      <c r="O119" s="107"/>
      <c r="P119" s="107"/>
      <c r="Q119" s="107"/>
    </row>
    <row r="120" spans="2:17" x14ac:dyDescent="0.5">
      <c r="B120" s="107"/>
      <c r="C120" s="113"/>
      <c r="D120" s="113"/>
      <c r="E120" s="113"/>
      <c r="F120" s="113"/>
      <c r="G120" s="113"/>
      <c r="H120" s="113"/>
      <c r="I120" s="113"/>
      <c r="J120" s="106"/>
      <c r="K120" s="106"/>
      <c r="L120" s="106"/>
      <c r="M120" s="107"/>
      <c r="N120" s="107"/>
      <c r="O120" s="107"/>
      <c r="P120" s="107"/>
      <c r="Q120" s="107"/>
    </row>
    <row r="121" spans="2:17" x14ac:dyDescent="0.5">
      <c r="B121" s="107"/>
      <c r="C121" s="113"/>
      <c r="D121" s="113"/>
      <c r="E121" s="113"/>
      <c r="F121" s="113"/>
      <c r="G121" s="113"/>
      <c r="H121" s="113"/>
      <c r="I121" s="113"/>
      <c r="J121" s="106"/>
      <c r="K121" s="106"/>
      <c r="L121" s="106"/>
      <c r="M121" s="107"/>
      <c r="N121" s="107"/>
      <c r="O121" s="107"/>
      <c r="P121" s="107"/>
      <c r="Q121" s="107"/>
    </row>
    <row r="122" spans="2:17" x14ac:dyDescent="0.5">
      <c r="B122" s="107"/>
      <c r="C122" s="113"/>
      <c r="D122" s="113"/>
      <c r="E122" s="113"/>
      <c r="F122" s="113"/>
      <c r="G122" s="113"/>
      <c r="H122" s="113"/>
      <c r="I122" s="113"/>
      <c r="J122" s="106"/>
      <c r="K122" s="106"/>
      <c r="L122" s="106"/>
      <c r="M122" s="107"/>
      <c r="N122" s="107"/>
      <c r="O122" s="107"/>
      <c r="P122" s="107"/>
      <c r="Q122" s="107"/>
    </row>
    <row r="123" spans="2:17" x14ac:dyDescent="0.5">
      <c r="B123" s="107"/>
      <c r="C123" s="113"/>
      <c r="D123" s="113"/>
      <c r="E123" s="113"/>
      <c r="F123" s="113"/>
      <c r="G123" s="113"/>
      <c r="H123" s="113"/>
      <c r="I123" s="113"/>
      <c r="J123" s="106"/>
      <c r="K123" s="106"/>
      <c r="L123" s="106"/>
      <c r="M123" s="107"/>
      <c r="N123" s="107"/>
      <c r="O123" s="107"/>
      <c r="P123" s="107"/>
      <c r="Q123" s="107"/>
    </row>
    <row r="124" spans="2:17" x14ac:dyDescent="0.5">
      <c r="B124" s="107"/>
      <c r="C124" s="113"/>
      <c r="D124" s="113"/>
      <c r="E124" s="113"/>
      <c r="F124" s="113"/>
      <c r="G124" s="113"/>
      <c r="H124" s="113"/>
      <c r="I124" s="113"/>
      <c r="J124" s="106"/>
      <c r="K124" s="106"/>
      <c r="L124" s="106"/>
      <c r="M124" s="107"/>
      <c r="N124" s="107"/>
      <c r="O124" s="107"/>
      <c r="P124" s="107"/>
      <c r="Q124" s="107"/>
    </row>
    <row r="125" spans="2:17" x14ac:dyDescent="0.5">
      <c r="B125" s="107"/>
      <c r="C125" s="113"/>
      <c r="D125" s="113"/>
      <c r="E125" s="113"/>
      <c r="F125" s="113"/>
      <c r="G125" s="113"/>
      <c r="H125" s="113"/>
      <c r="I125" s="113"/>
      <c r="J125" s="106"/>
      <c r="K125" s="106"/>
      <c r="L125" s="106"/>
      <c r="M125" s="107"/>
      <c r="N125" s="107"/>
      <c r="O125" s="107"/>
      <c r="P125" s="107"/>
      <c r="Q125" s="107"/>
    </row>
    <row r="126" spans="2:17" x14ac:dyDescent="0.5">
      <c r="B126" s="107"/>
      <c r="C126" s="113"/>
      <c r="D126" s="113"/>
      <c r="E126" s="113"/>
      <c r="F126" s="113"/>
      <c r="G126" s="113"/>
      <c r="H126" s="113"/>
      <c r="I126" s="113"/>
      <c r="J126" s="106"/>
      <c r="K126" s="106"/>
      <c r="L126" s="106"/>
      <c r="M126" s="107"/>
      <c r="N126" s="107"/>
      <c r="O126" s="107"/>
      <c r="P126" s="107"/>
      <c r="Q126" s="107"/>
    </row>
    <row r="127" spans="2:17" x14ac:dyDescent="0.5">
      <c r="B127" s="107"/>
      <c r="C127" s="113"/>
      <c r="D127" s="113"/>
      <c r="E127" s="113"/>
      <c r="F127" s="113"/>
      <c r="G127" s="113"/>
      <c r="H127" s="113"/>
      <c r="I127" s="113"/>
      <c r="J127" s="106"/>
      <c r="K127" s="106"/>
      <c r="L127" s="106"/>
      <c r="M127" s="107"/>
      <c r="N127" s="107"/>
      <c r="O127" s="107"/>
      <c r="P127" s="107"/>
      <c r="Q127" s="107"/>
    </row>
    <row r="128" spans="2:17" x14ac:dyDescent="0.5">
      <c r="B128" s="107"/>
      <c r="C128" s="113"/>
      <c r="D128" s="113"/>
      <c r="E128" s="113"/>
      <c r="F128" s="113"/>
      <c r="G128" s="113"/>
      <c r="H128" s="113"/>
      <c r="I128" s="113"/>
      <c r="J128" s="106"/>
      <c r="K128" s="106"/>
      <c r="L128" s="106"/>
      <c r="M128" s="107"/>
      <c r="N128" s="107"/>
      <c r="O128" s="107"/>
      <c r="P128" s="107"/>
      <c r="Q128" s="107"/>
    </row>
    <row r="129" spans="2:17" x14ac:dyDescent="0.5">
      <c r="B129" s="107"/>
      <c r="C129" s="113"/>
      <c r="D129" s="113"/>
      <c r="E129" s="113"/>
      <c r="F129" s="113"/>
      <c r="G129" s="113"/>
      <c r="H129" s="113"/>
      <c r="I129" s="113"/>
      <c r="J129" s="106"/>
      <c r="K129" s="106"/>
      <c r="L129" s="106"/>
      <c r="M129" s="107"/>
      <c r="N129" s="107"/>
      <c r="O129" s="107"/>
      <c r="P129" s="107"/>
      <c r="Q129" s="107"/>
    </row>
    <row r="130" spans="2:17" x14ac:dyDescent="0.5">
      <c r="B130" s="107"/>
      <c r="C130" s="113"/>
      <c r="D130" s="113"/>
      <c r="E130" s="113"/>
      <c r="F130" s="113"/>
      <c r="G130" s="113"/>
      <c r="H130" s="113"/>
      <c r="I130" s="113"/>
      <c r="J130" s="106"/>
      <c r="K130" s="106"/>
      <c r="L130" s="106"/>
      <c r="M130" s="107"/>
      <c r="N130" s="107"/>
      <c r="O130" s="107"/>
      <c r="P130" s="107"/>
      <c r="Q130" s="107"/>
    </row>
    <row r="131" spans="2:17" x14ac:dyDescent="0.5">
      <c r="B131" s="107"/>
      <c r="C131" s="113"/>
      <c r="D131" s="113"/>
      <c r="E131" s="113"/>
      <c r="F131" s="113"/>
      <c r="G131" s="113"/>
      <c r="H131" s="113"/>
      <c r="I131" s="113"/>
      <c r="J131" s="106"/>
      <c r="K131" s="106"/>
      <c r="L131" s="106"/>
      <c r="M131" s="107"/>
      <c r="N131" s="107"/>
      <c r="O131" s="107"/>
      <c r="P131" s="107"/>
      <c r="Q131" s="107"/>
    </row>
    <row r="132" spans="2:17" x14ac:dyDescent="0.5">
      <c r="B132" s="107"/>
      <c r="C132" s="113"/>
      <c r="D132" s="113"/>
      <c r="E132" s="113"/>
      <c r="F132" s="113"/>
      <c r="G132" s="113"/>
      <c r="H132" s="113"/>
      <c r="I132" s="113"/>
      <c r="J132" s="106"/>
      <c r="K132" s="106"/>
      <c r="L132" s="106"/>
      <c r="M132" s="107"/>
      <c r="N132" s="107"/>
      <c r="O132" s="107"/>
      <c r="P132" s="107"/>
      <c r="Q132" s="107"/>
    </row>
    <row r="133" spans="2:17" x14ac:dyDescent="0.5">
      <c r="B133" s="107"/>
      <c r="C133" s="113"/>
      <c r="D133" s="113"/>
      <c r="E133" s="113"/>
      <c r="F133" s="113"/>
      <c r="G133" s="113"/>
      <c r="H133" s="113"/>
      <c r="I133" s="113"/>
      <c r="J133" s="106"/>
      <c r="K133" s="106"/>
      <c r="L133" s="106"/>
      <c r="M133" s="107"/>
      <c r="N133" s="107"/>
      <c r="O133" s="107"/>
      <c r="P133" s="107"/>
      <c r="Q133" s="107"/>
    </row>
    <row r="134" spans="2:17" x14ac:dyDescent="0.5">
      <c r="B134" s="107"/>
      <c r="C134" s="113"/>
      <c r="D134" s="113"/>
      <c r="E134" s="113"/>
      <c r="F134" s="113"/>
      <c r="G134" s="113"/>
      <c r="H134" s="113"/>
      <c r="I134" s="113"/>
      <c r="J134" s="106"/>
      <c r="K134" s="106"/>
      <c r="L134" s="106"/>
      <c r="M134" s="107"/>
      <c r="N134" s="107"/>
      <c r="O134" s="107"/>
      <c r="P134" s="107"/>
      <c r="Q134" s="107"/>
    </row>
    <row r="135" spans="2:17" x14ac:dyDescent="0.5">
      <c r="B135" s="107"/>
      <c r="C135" s="113"/>
      <c r="D135" s="113"/>
      <c r="E135" s="113"/>
      <c r="F135" s="113"/>
      <c r="G135" s="113"/>
      <c r="H135" s="113"/>
      <c r="I135" s="113"/>
      <c r="J135" s="106"/>
      <c r="K135" s="106"/>
      <c r="L135" s="106"/>
      <c r="M135" s="107"/>
      <c r="N135" s="107"/>
      <c r="O135" s="107"/>
      <c r="P135" s="107"/>
      <c r="Q135" s="107"/>
    </row>
    <row r="136" spans="2:17" x14ac:dyDescent="0.5">
      <c r="B136" s="107"/>
      <c r="C136" s="113"/>
      <c r="D136" s="113"/>
      <c r="E136" s="113"/>
      <c r="F136" s="113"/>
      <c r="G136" s="113"/>
      <c r="H136" s="113"/>
      <c r="I136" s="113"/>
      <c r="J136" s="106"/>
      <c r="K136" s="106"/>
      <c r="L136" s="106"/>
      <c r="M136" s="107"/>
      <c r="N136" s="107"/>
      <c r="O136" s="107"/>
      <c r="P136" s="107"/>
      <c r="Q136" s="107"/>
    </row>
    <row r="137" spans="2:17" x14ac:dyDescent="0.5">
      <c r="B137" s="107"/>
      <c r="C137" s="113"/>
      <c r="D137" s="113"/>
      <c r="E137" s="113"/>
      <c r="F137" s="113"/>
      <c r="G137" s="113"/>
      <c r="H137" s="113"/>
      <c r="I137" s="113"/>
      <c r="J137" s="106"/>
      <c r="K137" s="106"/>
      <c r="L137" s="106"/>
      <c r="M137" s="107"/>
      <c r="N137" s="107"/>
      <c r="O137" s="107"/>
      <c r="P137" s="107"/>
      <c r="Q137" s="107"/>
    </row>
    <row r="138" spans="2:17" x14ac:dyDescent="0.5">
      <c r="C138" s="115"/>
      <c r="D138" s="115"/>
      <c r="E138" s="115"/>
      <c r="F138" s="115"/>
      <c r="G138" s="115"/>
      <c r="H138" s="115"/>
      <c r="I138" s="115"/>
      <c r="J138" s="88"/>
      <c r="K138" s="88"/>
      <c r="L138" s="88"/>
    </row>
    <row r="139" spans="2:17" x14ac:dyDescent="0.5">
      <c r="C139" s="115"/>
      <c r="D139" s="115"/>
      <c r="E139" s="115"/>
      <c r="F139" s="115"/>
      <c r="G139" s="115"/>
      <c r="H139" s="115"/>
      <c r="I139" s="115"/>
      <c r="J139" s="88"/>
      <c r="K139" s="88"/>
      <c r="L139" s="88"/>
    </row>
    <row r="140" spans="2:17" x14ac:dyDescent="0.5">
      <c r="C140" s="115"/>
      <c r="D140" s="115"/>
      <c r="E140" s="115"/>
      <c r="F140" s="115"/>
      <c r="G140" s="115"/>
      <c r="H140" s="115"/>
      <c r="I140" s="115"/>
      <c r="J140" s="88"/>
      <c r="K140" s="88"/>
      <c r="L140" s="88"/>
    </row>
    <row r="141" spans="2:17" x14ac:dyDescent="0.5">
      <c r="C141" s="115"/>
      <c r="D141" s="115"/>
      <c r="E141" s="115"/>
      <c r="F141" s="115"/>
      <c r="G141" s="115"/>
      <c r="H141" s="115"/>
      <c r="I141" s="115"/>
      <c r="J141" s="88"/>
      <c r="K141" s="88"/>
      <c r="L141" s="88"/>
    </row>
    <row r="142" spans="2:17" x14ac:dyDescent="0.5">
      <c r="F142" s="88"/>
      <c r="G142" s="88"/>
      <c r="H142" s="88"/>
      <c r="I142" s="88"/>
      <c r="J142" s="88"/>
      <c r="K142" s="88"/>
      <c r="L142" s="88"/>
    </row>
    <row r="143" spans="2:17" x14ac:dyDescent="0.5">
      <c r="B143" s="18"/>
      <c r="F143" s="88"/>
      <c r="G143" s="88"/>
      <c r="H143" s="88"/>
      <c r="I143" s="88"/>
      <c r="J143" s="88"/>
      <c r="K143" s="88"/>
      <c r="L143" s="88"/>
    </row>
    <row r="144" spans="2:17" x14ac:dyDescent="0.5">
      <c r="C144" s="124"/>
      <c r="D144" s="124"/>
      <c r="E144" s="124"/>
      <c r="F144" s="124"/>
      <c r="G144" s="124"/>
      <c r="H144" s="124"/>
      <c r="I144" s="124"/>
      <c r="J144" s="88"/>
      <c r="K144" s="88"/>
      <c r="L144" s="88"/>
    </row>
    <row r="145" spans="3:12" x14ac:dyDescent="0.5">
      <c r="C145" s="125"/>
      <c r="D145" s="125"/>
      <c r="E145" s="125"/>
      <c r="F145" s="125"/>
      <c r="G145" s="125"/>
      <c r="H145" s="125"/>
      <c r="I145" s="125"/>
      <c r="J145" s="88"/>
      <c r="K145" s="88"/>
      <c r="L145" s="88"/>
    </row>
    <row r="146" spans="3:12" x14ac:dyDescent="0.5">
      <c r="C146" s="115"/>
      <c r="D146" s="115"/>
      <c r="E146" s="115"/>
      <c r="F146" s="115"/>
      <c r="G146" s="115"/>
      <c r="H146" s="115"/>
      <c r="I146" s="115"/>
      <c r="J146" s="88"/>
      <c r="K146" s="88"/>
      <c r="L146" s="88"/>
    </row>
    <row r="147" spans="3:12" x14ac:dyDescent="0.5">
      <c r="C147" s="115"/>
      <c r="D147" s="115"/>
      <c r="E147" s="115"/>
      <c r="F147" s="115"/>
      <c r="G147" s="115"/>
      <c r="H147" s="115"/>
      <c r="I147" s="115"/>
      <c r="J147" s="88"/>
      <c r="K147" s="88"/>
      <c r="L147" s="88"/>
    </row>
    <row r="148" spans="3:12" x14ac:dyDescent="0.5">
      <c r="C148" s="115"/>
      <c r="D148" s="115"/>
      <c r="E148" s="115"/>
      <c r="F148" s="115"/>
      <c r="G148" s="115"/>
      <c r="H148" s="115"/>
      <c r="I148" s="115"/>
      <c r="J148" s="88"/>
      <c r="K148" s="88"/>
      <c r="L148" s="88"/>
    </row>
    <row r="149" spans="3:12" x14ac:dyDescent="0.5">
      <c r="C149" s="115"/>
      <c r="D149" s="115"/>
      <c r="E149" s="115"/>
      <c r="F149" s="115"/>
      <c r="G149" s="115"/>
      <c r="H149" s="115"/>
      <c r="I149" s="115"/>
      <c r="J149" s="88"/>
      <c r="K149" s="88"/>
      <c r="L149" s="88"/>
    </row>
    <row r="150" spans="3:12" x14ac:dyDescent="0.5">
      <c r="C150" s="115"/>
      <c r="D150" s="115"/>
      <c r="E150" s="115"/>
      <c r="F150" s="115"/>
      <c r="G150" s="115"/>
      <c r="H150" s="115"/>
      <c r="I150" s="115"/>
      <c r="J150" s="88"/>
      <c r="K150" s="88"/>
      <c r="L150" s="88"/>
    </row>
    <row r="151" spans="3:12" x14ac:dyDescent="0.5">
      <c r="C151" s="115"/>
      <c r="D151" s="115"/>
      <c r="E151" s="115"/>
      <c r="F151" s="115"/>
      <c r="G151" s="115"/>
      <c r="H151" s="115"/>
      <c r="I151" s="115"/>
      <c r="J151" s="88"/>
      <c r="K151" s="88"/>
      <c r="L151" s="88"/>
    </row>
    <row r="152" spans="3:12" x14ac:dyDescent="0.5">
      <c r="C152" s="115"/>
      <c r="D152" s="115"/>
      <c r="E152" s="115"/>
      <c r="F152" s="115"/>
      <c r="G152" s="115"/>
      <c r="H152" s="115"/>
      <c r="I152" s="115"/>
      <c r="J152" s="88"/>
      <c r="K152" s="88"/>
      <c r="L152" s="88"/>
    </row>
    <row r="153" spans="3:12" x14ac:dyDescent="0.5">
      <c r="C153" s="115"/>
      <c r="D153" s="115"/>
      <c r="E153" s="115"/>
      <c r="F153" s="115"/>
      <c r="G153" s="115"/>
      <c r="H153" s="115"/>
      <c r="I153" s="115"/>
      <c r="J153" s="88"/>
      <c r="K153" s="88"/>
      <c r="L153" s="88"/>
    </row>
    <row r="154" spans="3:12" x14ac:dyDescent="0.5">
      <c r="C154" s="115"/>
      <c r="D154" s="115"/>
      <c r="E154" s="115"/>
      <c r="F154" s="115"/>
      <c r="G154" s="115"/>
      <c r="H154" s="115"/>
      <c r="I154" s="115"/>
      <c r="J154" s="88"/>
      <c r="K154" s="88"/>
      <c r="L154" s="88"/>
    </row>
    <row r="155" spans="3:12" x14ac:dyDescent="0.5">
      <c r="C155" s="115"/>
      <c r="D155" s="115"/>
      <c r="E155" s="115"/>
      <c r="F155" s="115"/>
      <c r="G155" s="115"/>
      <c r="H155" s="115"/>
      <c r="I155" s="115"/>
      <c r="J155" s="88"/>
      <c r="K155" s="88"/>
      <c r="L155" s="88"/>
    </row>
    <row r="156" spans="3:12" x14ac:dyDescent="0.5">
      <c r="C156" s="115"/>
      <c r="D156" s="115"/>
      <c r="E156" s="115"/>
      <c r="F156" s="115"/>
      <c r="G156" s="115"/>
      <c r="H156" s="115"/>
      <c r="I156" s="115"/>
      <c r="J156" s="88"/>
      <c r="K156" s="88"/>
      <c r="L156" s="88"/>
    </row>
    <row r="157" spans="3:12" x14ac:dyDescent="0.5">
      <c r="C157" s="115"/>
      <c r="D157" s="115"/>
      <c r="E157" s="115"/>
      <c r="F157" s="115"/>
      <c r="G157" s="115"/>
      <c r="H157" s="115"/>
      <c r="I157" s="115"/>
      <c r="J157" s="88"/>
      <c r="K157" s="88"/>
      <c r="L157" s="88"/>
    </row>
    <row r="158" spans="3:12" x14ac:dyDescent="0.5">
      <c r="C158" s="115"/>
      <c r="D158" s="115"/>
      <c r="E158" s="115"/>
      <c r="F158" s="115"/>
      <c r="G158" s="115"/>
      <c r="H158" s="115"/>
      <c r="I158" s="115"/>
      <c r="J158" s="88"/>
      <c r="K158" s="88"/>
      <c r="L158" s="88"/>
    </row>
    <row r="159" spans="3:12" x14ac:dyDescent="0.5">
      <c r="C159" s="115"/>
      <c r="D159" s="115"/>
      <c r="E159" s="115"/>
      <c r="F159" s="115"/>
      <c r="G159" s="115"/>
      <c r="H159" s="115"/>
      <c r="I159" s="115"/>
      <c r="J159" s="88"/>
      <c r="K159" s="88"/>
      <c r="L159" s="88"/>
    </row>
    <row r="160" spans="3:12" x14ac:dyDescent="0.5">
      <c r="C160" s="115"/>
      <c r="D160" s="115"/>
      <c r="E160" s="115"/>
      <c r="F160" s="115"/>
      <c r="G160" s="115"/>
      <c r="H160" s="115"/>
      <c r="I160" s="115"/>
      <c r="J160" s="88"/>
      <c r="K160" s="88"/>
      <c r="L160" s="88"/>
    </row>
    <row r="161" spans="2:12" x14ac:dyDescent="0.5">
      <c r="C161" s="115"/>
      <c r="D161" s="115"/>
      <c r="E161" s="115"/>
      <c r="F161" s="115"/>
      <c r="G161" s="115"/>
      <c r="H161" s="115"/>
      <c r="I161" s="115"/>
      <c r="J161" s="88"/>
      <c r="K161" s="88"/>
      <c r="L161" s="88"/>
    </row>
    <row r="162" spans="2:12" x14ac:dyDescent="0.5">
      <c r="C162" s="115"/>
      <c r="D162" s="115"/>
      <c r="E162" s="115"/>
      <c r="F162" s="115"/>
      <c r="G162" s="115"/>
      <c r="H162" s="115"/>
      <c r="I162" s="115"/>
      <c r="J162" s="88"/>
      <c r="K162" s="88"/>
      <c r="L162" s="88"/>
    </row>
    <row r="163" spans="2:12" x14ac:dyDescent="0.5">
      <c r="C163" s="115"/>
      <c r="D163" s="115"/>
      <c r="E163" s="115"/>
      <c r="F163" s="115"/>
      <c r="G163" s="115"/>
      <c r="H163" s="115"/>
      <c r="I163" s="115"/>
      <c r="J163" s="88"/>
      <c r="K163" s="88"/>
      <c r="L163" s="88"/>
    </row>
    <row r="164" spans="2:12" x14ac:dyDescent="0.5">
      <c r="C164" s="115"/>
      <c r="D164" s="115"/>
      <c r="E164" s="115"/>
      <c r="F164" s="115"/>
      <c r="G164" s="115"/>
      <c r="H164" s="115"/>
      <c r="I164" s="115"/>
      <c r="J164" s="88"/>
      <c r="K164" s="88"/>
      <c r="L164" s="88"/>
    </row>
    <row r="165" spans="2:12" x14ac:dyDescent="0.5">
      <c r="C165" s="115"/>
      <c r="D165" s="115"/>
      <c r="E165" s="115"/>
      <c r="F165" s="115"/>
      <c r="G165" s="115"/>
      <c r="H165" s="115"/>
      <c r="I165" s="115"/>
      <c r="J165" s="88"/>
      <c r="K165" s="88"/>
      <c r="L165" s="88"/>
    </row>
    <row r="166" spans="2:12" x14ac:dyDescent="0.5">
      <c r="C166" s="115"/>
      <c r="D166" s="115"/>
      <c r="E166" s="115"/>
      <c r="F166" s="115"/>
      <c r="G166" s="115"/>
      <c r="H166" s="115"/>
      <c r="I166" s="115"/>
      <c r="J166" s="88"/>
      <c r="K166" s="88"/>
      <c r="L166" s="88"/>
    </row>
    <row r="167" spans="2:12" x14ac:dyDescent="0.5">
      <c r="C167" s="115"/>
      <c r="D167" s="115"/>
      <c r="E167" s="115"/>
      <c r="F167" s="115"/>
      <c r="G167" s="115"/>
      <c r="H167" s="115"/>
      <c r="I167" s="115"/>
      <c r="J167" s="88"/>
      <c r="K167" s="88"/>
      <c r="L167" s="88"/>
    </row>
    <row r="168" spans="2:12" x14ac:dyDescent="0.5">
      <c r="C168" s="115"/>
      <c r="D168" s="115"/>
      <c r="E168" s="115"/>
      <c r="F168" s="115"/>
      <c r="G168" s="115"/>
      <c r="H168" s="115"/>
      <c r="I168" s="115"/>
      <c r="J168" s="88"/>
      <c r="K168" s="88"/>
      <c r="L168" s="88"/>
    </row>
    <row r="169" spans="2:12" x14ac:dyDescent="0.5">
      <c r="C169" s="115"/>
      <c r="D169" s="115"/>
      <c r="E169" s="115"/>
      <c r="F169" s="115"/>
      <c r="G169" s="115"/>
      <c r="H169" s="115"/>
      <c r="I169" s="115"/>
      <c r="J169" s="88"/>
      <c r="K169" s="88"/>
      <c r="L169" s="88"/>
    </row>
    <row r="170" spans="2:12" x14ac:dyDescent="0.5">
      <c r="C170" s="115"/>
      <c r="D170" s="115"/>
      <c r="E170" s="115"/>
      <c r="F170" s="115"/>
      <c r="G170" s="115"/>
      <c r="H170" s="115"/>
      <c r="I170" s="115"/>
      <c r="J170" s="88"/>
      <c r="K170" s="88"/>
      <c r="L170" s="88"/>
    </row>
    <row r="171" spans="2:12" x14ac:dyDescent="0.5">
      <c r="F171" s="88"/>
      <c r="G171" s="88"/>
      <c r="H171" s="88"/>
      <c r="I171" s="88"/>
      <c r="J171" s="88"/>
      <c r="K171" s="88"/>
      <c r="L171" s="88"/>
    </row>
    <row r="172" spans="2:12" x14ac:dyDescent="0.5">
      <c r="B172" s="18"/>
      <c r="F172" s="88"/>
      <c r="G172" s="88"/>
      <c r="H172" s="88"/>
      <c r="I172" s="88"/>
      <c r="J172" s="88"/>
      <c r="K172" s="88"/>
      <c r="L172" s="88"/>
    </row>
    <row r="173" spans="2:12" x14ac:dyDescent="0.5">
      <c r="C173" s="124"/>
      <c r="D173" s="124"/>
      <c r="E173" s="124"/>
      <c r="F173" s="124"/>
      <c r="G173" s="124"/>
      <c r="H173" s="124"/>
      <c r="I173" s="124"/>
      <c r="J173" s="88"/>
      <c r="K173" s="88"/>
      <c r="L173" s="88"/>
    </row>
    <row r="174" spans="2:12" x14ac:dyDescent="0.5">
      <c r="C174" s="125"/>
      <c r="D174" s="125"/>
      <c r="E174" s="125"/>
      <c r="F174" s="125"/>
      <c r="G174" s="125"/>
      <c r="H174" s="125"/>
      <c r="I174" s="125"/>
      <c r="J174" s="88"/>
      <c r="K174" s="88"/>
      <c r="L174" s="88"/>
    </row>
    <row r="175" spans="2:12" x14ac:dyDescent="0.5">
      <c r="C175" s="115"/>
      <c r="D175" s="115"/>
      <c r="E175" s="115"/>
      <c r="F175" s="115"/>
      <c r="G175" s="115"/>
      <c r="H175" s="115"/>
      <c r="I175" s="115"/>
      <c r="J175" s="88"/>
      <c r="K175" s="88"/>
      <c r="L175" s="88"/>
    </row>
    <row r="176" spans="2:12" x14ac:dyDescent="0.5">
      <c r="C176" s="115"/>
      <c r="D176" s="115"/>
      <c r="E176" s="115"/>
      <c r="F176" s="115"/>
      <c r="G176" s="115"/>
      <c r="H176" s="115"/>
      <c r="I176" s="115"/>
      <c r="J176" s="88"/>
      <c r="K176" s="88"/>
      <c r="L176" s="88"/>
    </row>
    <row r="177" spans="3:12" x14ac:dyDescent="0.5">
      <c r="C177" s="115"/>
      <c r="D177" s="115"/>
      <c r="E177" s="115"/>
      <c r="F177" s="115"/>
      <c r="G177" s="115"/>
      <c r="H177" s="115"/>
      <c r="I177" s="115"/>
      <c r="J177" s="88"/>
      <c r="K177" s="88"/>
      <c r="L177" s="88"/>
    </row>
    <row r="178" spans="3:12" x14ac:dyDescent="0.5">
      <c r="C178" s="115"/>
      <c r="D178" s="115"/>
      <c r="E178" s="115"/>
      <c r="F178" s="115"/>
      <c r="G178" s="115"/>
      <c r="H178" s="115"/>
      <c r="I178" s="115"/>
      <c r="J178" s="88"/>
      <c r="K178" s="88"/>
      <c r="L178" s="88"/>
    </row>
    <row r="179" spans="3:12" x14ac:dyDescent="0.5">
      <c r="C179" s="115"/>
      <c r="D179" s="115"/>
      <c r="E179" s="115"/>
      <c r="F179" s="115"/>
      <c r="G179" s="115"/>
      <c r="H179" s="115"/>
      <c r="I179" s="115"/>
      <c r="J179" s="88"/>
      <c r="K179" s="88"/>
      <c r="L179" s="88"/>
    </row>
    <row r="180" spans="3:12" x14ac:dyDescent="0.5">
      <c r="C180" s="115"/>
      <c r="D180" s="115"/>
      <c r="E180" s="115"/>
      <c r="F180" s="115"/>
      <c r="G180" s="115"/>
      <c r="H180" s="115"/>
      <c r="I180" s="115"/>
      <c r="J180" s="88"/>
      <c r="K180" s="88"/>
      <c r="L180" s="88"/>
    </row>
    <row r="181" spans="3:12" x14ac:dyDescent="0.5">
      <c r="C181" s="115"/>
      <c r="D181" s="115"/>
      <c r="E181" s="115"/>
      <c r="F181" s="115"/>
      <c r="G181" s="115"/>
      <c r="H181" s="115"/>
      <c r="I181" s="115"/>
      <c r="J181" s="88"/>
      <c r="K181" s="88"/>
      <c r="L181" s="88"/>
    </row>
    <row r="182" spans="3:12" x14ac:dyDescent="0.5">
      <c r="C182" s="115"/>
      <c r="D182" s="115"/>
      <c r="E182" s="115"/>
      <c r="F182" s="115"/>
      <c r="G182" s="115"/>
      <c r="H182" s="115"/>
      <c r="I182" s="115"/>
      <c r="J182" s="88"/>
      <c r="K182" s="88"/>
      <c r="L182" s="88"/>
    </row>
    <row r="183" spans="3:12" x14ac:dyDescent="0.5">
      <c r="C183" s="115"/>
      <c r="D183" s="115"/>
      <c r="E183" s="115"/>
      <c r="F183" s="115"/>
      <c r="G183" s="115"/>
      <c r="H183" s="115"/>
      <c r="I183" s="115"/>
      <c r="J183" s="88"/>
      <c r="K183" s="88"/>
      <c r="L183" s="88"/>
    </row>
    <row r="184" spans="3:12" x14ac:dyDescent="0.5">
      <c r="C184" s="115"/>
      <c r="D184" s="115"/>
      <c r="E184" s="115"/>
      <c r="F184" s="115"/>
      <c r="G184" s="115"/>
      <c r="H184" s="115"/>
      <c r="I184" s="115"/>
      <c r="J184" s="88"/>
      <c r="K184" s="88"/>
      <c r="L184" s="88"/>
    </row>
    <row r="185" spans="3:12" x14ac:dyDescent="0.5">
      <c r="C185" s="115"/>
      <c r="D185" s="115"/>
      <c r="E185" s="115"/>
      <c r="F185" s="115"/>
      <c r="G185" s="115"/>
      <c r="H185" s="115"/>
      <c r="I185" s="115"/>
      <c r="J185" s="88"/>
      <c r="K185" s="88"/>
      <c r="L185" s="88"/>
    </row>
    <row r="186" spans="3:12" x14ac:dyDescent="0.5">
      <c r="C186" s="115"/>
      <c r="D186" s="115"/>
      <c r="E186" s="115"/>
      <c r="F186" s="115"/>
      <c r="G186" s="115"/>
      <c r="H186" s="115"/>
      <c r="I186" s="115"/>
      <c r="J186" s="88"/>
      <c r="K186" s="88"/>
      <c r="L186" s="88"/>
    </row>
    <row r="187" spans="3:12" x14ac:dyDescent="0.5">
      <c r="C187" s="115"/>
      <c r="D187" s="115"/>
      <c r="E187" s="115"/>
      <c r="F187" s="115"/>
      <c r="G187" s="115"/>
      <c r="H187" s="115"/>
      <c r="I187" s="115"/>
      <c r="J187" s="88"/>
      <c r="K187" s="88"/>
      <c r="L187" s="88"/>
    </row>
    <row r="188" spans="3:12" x14ac:dyDescent="0.5">
      <c r="C188" s="115"/>
      <c r="D188" s="115"/>
      <c r="E188" s="115"/>
      <c r="F188" s="115"/>
      <c r="G188" s="115"/>
      <c r="H188" s="115"/>
      <c r="I188" s="115"/>
      <c r="J188" s="88"/>
      <c r="K188" s="88"/>
      <c r="L188" s="88"/>
    </row>
    <row r="189" spans="3:12" x14ac:dyDescent="0.5">
      <c r="C189" s="115"/>
      <c r="D189" s="115"/>
      <c r="E189" s="115"/>
      <c r="F189" s="115"/>
      <c r="G189" s="115"/>
      <c r="H189" s="115"/>
      <c r="I189" s="115"/>
      <c r="J189" s="88"/>
      <c r="K189" s="88"/>
      <c r="L189" s="88"/>
    </row>
    <row r="190" spans="3:12" x14ac:dyDescent="0.5">
      <c r="C190" s="115"/>
      <c r="D190" s="115"/>
      <c r="E190" s="115"/>
      <c r="F190" s="115"/>
      <c r="G190" s="115"/>
      <c r="H190" s="115"/>
      <c r="I190" s="115"/>
      <c r="J190" s="88"/>
      <c r="K190" s="88"/>
      <c r="L190" s="88"/>
    </row>
    <row r="191" spans="3:12" x14ac:dyDescent="0.5">
      <c r="C191" s="115"/>
      <c r="D191" s="115"/>
      <c r="E191" s="115"/>
      <c r="F191" s="115"/>
      <c r="G191" s="115"/>
      <c r="H191" s="115"/>
      <c r="I191" s="115"/>
      <c r="J191" s="88"/>
      <c r="K191" s="88"/>
      <c r="L191" s="88"/>
    </row>
    <row r="192" spans="3:12" x14ac:dyDescent="0.5">
      <c r="C192" s="115"/>
      <c r="D192" s="115"/>
      <c r="E192" s="115"/>
      <c r="F192" s="115"/>
      <c r="G192" s="115"/>
      <c r="H192" s="115"/>
      <c r="I192" s="115"/>
      <c r="J192" s="88"/>
      <c r="K192" s="88"/>
      <c r="L192" s="88"/>
    </row>
    <row r="193" spans="2:12" x14ac:dyDescent="0.5">
      <c r="C193" s="115"/>
      <c r="D193" s="115"/>
      <c r="E193" s="115"/>
      <c r="F193" s="115"/>
      <c r="G193" s="115"/>
      <c r="H193" s="115"/>
      <c r="I193" s="115"/>
      <c r="J193" s="88"/>
      <c r="K193" s="88"/>
      <c r="L193" s="88"/>
    </row>
    <row r="194" spans="2:12" x14ac:dyDescent="0.5">
      <c r="C194" s="115"/>
      <c r="D194" s="115"/>
      <c r="E194" s="115"/>
      <c r="F194" s="115"/>
      <c r="G194" s="115"/>
      <c r="H194" s="115"/>
      <c r="I194" s="115"/>
      <c r="J194" s="88"/>
      <c r="K194" s="88"/>
      <c r="L194" s="88"/>
    </row>
    <row r="195" spans="2:12" x14ac:dyDescent="0.5">
      <c r="C195" s="115"/>
      <c r="D195" s="115"/>
      <c r="E195" s="115"/>
      <c r="F195" s="115"/>
      <c r="G195" s="115"/>
      <c r="H195" s="115"/>
      <c r="I195" s="115"/>
      <c r="J195" s="88"/>
      <c r="K195" s="88"/>
      <c r="L195" s="88"/>
    </row>
    <row r="196" spans="2:12" x14ac:dyDescent="0.5">
      <c r="C196" s="115"/>
      <c r="D196" s="115"/>
      <c r="E196" s="115"/>
      <c r="F196" s="115"/>
      <c r="G196" s="115"/>
      <c r="H196" s="115"/>
      <c r="I196" s="115"/>
      <c r="J196" s="88"/>
      <c r="K196" s="88"/>
      <c r="L196" s="88"/>
    </row>
    <row r="197" spans="2:12" x14ac:dyDescent="0.5">
      <c r="C197" s="115"/>
      <c r="D197" s="115"/>
      <c r="E197" s="115"/>
      <c r="F197" s="115"/>
      <c r="G197" s="115"/>
      <c r="H197" s="115"/>
      <c r="I197" s="115"/>
      <c r="J197" s="88"/>
      <c r="K197" s="88"/>
      <c r="L197" s="88"/>
    </row>
    <row r="198" spans="2:12" x14ac:dyDescent="0.5">
      <c r="C198" s="115"/>
      <c r="D198" s="115"/>
      <c r="E198" s="115"/>
      <c r="F198" s="115"/>
      <c r="G198" s="115"/>
      <c r="H198" s="115"/>
      <c r="I198" s="115"/>
      <c r="J198" s="88"/>
      <c r="K198" s="88"/>
      <c r="L198" s="88"/>
    </row>
    <row r="199" spans="2:12" x14ac:dyDescent="0.5">
      <c r="C199" s="115"/>
      <c r="D199" s="115"/>
      <c r="E199" s="115"/>
      <c r="F199" s="115"/>
      <c r="G199" s="115"/>
      <c r="H199" s="115"/>
      <c r="I199" s="115"/>
      <c r="J199" s="88"/>
      <c r="K199" s="88"/>
      <c r="L199" s="88"/>
    </row>
    <row r="200" spans="2:12" x14ac:dyDescent="0.5">
      <c r="F200" s="88"/>
      <c r="G200" s="88"/>
      <c r="H200" s="88"/>
      <c r="I200" s="88"/>
      <c r="J200" s="88"/>
      <c r="K200" s="88"/>
      <c r="L200" s="88"/>
    </row>
    <row r="201" spans="2:12" x14ac:dyDescent="0.5">
      <c r="B201" s="18"/>
      <c r="F201" s="88"/>
      <c r="G201" s="88"/>
      <c r="H201" s="88"/>
      <c r="I201" s="88"/>
      <c r="J201" s="88"/>
      <c r="K201" s="88"/>
      <c r="L201" s="88"/>
    </row>
    <row r="202" spans="2:12" x14ac:dyDescent="0.5">
      <c r="F202" s="88"/>
      <c r="G202" s="88"/>
      <c r="H202" s="88"/>
      <c r="I202" s="88"/>
      <c r="J202" s="88"/>
      <c r="K202" s="88"/>
      <c r="L202" s="88"/>
    </row>
    <row r="203" spans="2:12" x14ac:dyDescent="0.5">
      <c r="C203" s="124"/>
      <c r="D203" s="124"/>
      <c r="E203" s="124"/>
      <c r="F203" s="124"/>
      <c r="G203" s="124"/>
      <c r="H203" s="124"/>
      <c r="I203" s="124"/>
      <c r="J203" s="88"/>
      <c r="K203" s="88"/>
      <c r="L203" s="88"/>
    </row>
    <row r="204" spans="2:12" x14ac:dyDescent="0.5">
      <c r="C204" s="125"/>
      <c r="D204" s="125"/>
      <c r="E204" s="125"/>
      <c r="F204" s="125"/>
      <c r="G204" s="125"/>
      <c r="H204" s="125"/>
      <c r="I204" s="125"/>
      <c r="J204" s="88"/>
      <c r="K204" s="88"/>
      <c r="L204" s="88"/>
    </row>
    <row r="205" spans="2:12" x14ac:dyDescent="0.5">
      <c r="C205" s="125"/>
      <c r="D205" s="125"/>
      <c r="E205" s="125"/>
      <c r="F205" s="125"/>
      <c r="G205" s="125"/>
      <c r="H205" s="125"/>
      <c r="I205" s="125"/>
      <c r="J205" s="88"/>
      <c r="K205" s="88"/>
      <c r="L205" s="88"/>
    </row>
    <row r="206" spans="2:12" x14ac:dyDescent="0.5">
      <c r="C206" s="125"/>
      <c r="D206" s="125"/>
      <c r="E206" s="125"/>
      <c r="F206" s="125"/>
      <c r="G206" s="125"/>
      <c r="H206" s="125"/>
      <c r="I206" s="125"/>
      <c r="J206" s="88"/>
      <c r="K206" s="88"/>
      <c r="L206" s="88"/>
    </row>
    <row r="207" spans="2:12" x14ac:dyDescent="0.5">
      <c r="C207" s="125"/>
      <c r="D207" s="125"/>
      <c r="E207" s="125"/>
      <c r="F207" s="125"/>
      <c r="G207" s="125"/>
      <c r="H207" s="125"/>
      <c r="I207" s="125"/>
    </row>
    <row r="208" spans="2:12" x14ac:dyDescent="0.5">
      <c r="C208" s="125"/>
      <c r="D208" s="125"/>
      <c r="E208" s="125"/>
      <c r="F208" s="125"/>
      <c r="G208" s="125"/>
      <c r="H208" s="125"/>
      <c r="I208" s="125"/>
    </row>
    <row r="209" spans="3:9" x14ac:dyDescent="0.5">
      <c r="C209" s="125"/>
      <c r="D209" s="125"/>
      <c r="E209" s="125"/>
      <c r="F209" s="125"/>
      <c r="G209" s="125"/>
      <c r="H209" s="125"/>
      <c r="I209" s="125"/>
    </row>
    <row r="210" spans="3:9" x14ac:dyDescent="0.5">
      <c r="C210" s="125"/>
      <c r="D210" s="125"/>
      <c r="E210" s="125"/>
      <c r="F210" s="125"/>
      <c r="G210" s="125"/>
      <c r="H210" s="125"/>
      <c r="I210" s="125"/>
    </row>
    <row r="211" spans="3:9" x14ac:dyDescent="0.5">
      <c r="C211" s="125"/>
      <c r="D211" s="125"/>
      <c r="E211" s="125"/>
      <c r="F211" s="125"/>
      <c r="G211" s="125"/>
      <c r="H211" s="125"/>
      <c r="I211" s="125"/>
    </row>
    <row r="212" spans="3:9" x14ac:dyDescent="0.5">
      <c r="C212" s="125"/>
      <c r="D212" s="125"/>
      <c r="E212" s="125"/>
      <c r="F212" s="125"/>
      <c r="G212" s="125"/>
      <c r="H212" s="125"/>
      <c r="I212" s="125"/>
    </row>
    <row r="213" spans="3:9" x14ac:dyDescent="0.5">
      <c r="C213" s="125"/>
      <c r="D213" s="125"/>
      <c r="E213" s="125"/>
      <c r="F213" s="125"/>
      <c r="G213" s="125"/>
      <c r="H213" s="125"/>
      <c r="I213" s="125"/>
    </row>
    <row r="214" spans="3:9" x14ac:dyDescent="0.5">
      <c r="C214" s="125"/>
      <c r="D214" s="125"/>
      <c r="E214" s="125"/>
      <c r="F214" s="125"/>
      <c r="G214" s="125"/>
      <c r="H214" s="125"/>
      <c r="I214" s="125"/>
    </row>
    <row r="215" spans="3:9" x14ac:dyDescent="0.5">
      <c r="C215" s="125"/>
      <c r="D215" s="125"/>
      <c r="E215" s="125"/>
      <c r="F215" s="125"/>
      <c r="G215" s="125"/>
      <c r="H215" s="125"/>
      <c r="I215" s="125"/>
    </row>
    <row r="216" spans="3:9" x14ac:dyDescent="0.5">
      <c r="C216" s="125"/>
      <c r="D216" s="125"/>
      <c r="E216" s="125"/>
      <c r="F216" s="125"/>
      <c r="G216" s="125"/>
      <c r="H216" s="125"/>
      <c r="I216" s="125"/>
    </row>
    <row r="217" spans="3:9" x14ac:dyDescent="0.5">
      <c r="C217" s="125"/>
      <c r="D217" s="125"/>
      <c r="E217" s="125"/>
      <c r="F217" s="125"/>
      <c r="G217" s="125"/>
      <c r="H217" s="125"/>
      <c r="I217" s="125"/>
    </row>
    <row r="218" spans="3:9" x14ac:dyDescent="0.5">
      <c r="C218" s="125"/>
      <c r="D218" s="125"/>
      <c r="E218" s="125"/>
      <c r="F218" s="125"/>
      <c r="G218" s="125"/>
      <c r="H218" s="125"/>
      <c r="I218" s="125"/>
    </row>
    <row r="219" spans="3:9" x14ac:dyDescent="0.5">
      <c r="C219" s="125"/>
      <c r="D219" s="125"/>
      <c r="E219" s="125"/>
      <c r="F219" s="125"/>
      <c r="G219" s="125"/>
      <c r="H219" s="125"/>
      <c r="I219" s="125"/>
    </row>
    <row r="220" spans="3:9" x14ac:dyDescent="0.5">
      <c r="C220" s="125"/>
      <c r="D220" s="125"/>
      <c r="E220" s="125"/>
      <c r="F220" s="125"/>
      <c r="G220" s="125"/>
      <c r="H220" s="125"/>
      <c r="I220" s="125"/>
    </row>
    <row r="221" spans="3:9" x14ac:dyDescent="0.5">
      <c r="C221" s="125"/>
      <c r="D221" s="125"/>
      <c r="E221" s="125"/>
      <c r="F221" s="125"/>
      <c r="G221" s="125"/>
      <c r="H221" s="125"/>
      <c r="I221" s="125"/>
    </row>
    <row r="222" spans="3:9" x14ac:dyDescent="0.5">
      <c r="C222" s="125"/>
      <c r="D222" s="125"/>
      <c r="E222" s="125"/>
      <c r="F222" s="125"/>
      <c r="G222" s="125"/>
      <c r="H222" s="125"/>
      <c r="I222" s="125"/>
    </row>
    <row r="223" spans="3:9" x14ac:dyDescent="0.5">
      <c r="C223" s="125"/>
      <c r="D223" s="125"/>
      <c r="E223" s="125"/>
      <c r="F223" s="125"/>
      <c r="G223" s="125"/>
      <c r="H223" s="125"/>
      <c r="I223" s="125"/>
    </row>
    <row r="224" spans="3:9" x14ac:dyDescent="0.5">
      <c r="C224" s="125"/>
      <c r="D224" s="125"/>
      <c r="E224" s="125"/>
      <c r="F224" s="125"/>
      <c r="G224" s="125"/>
      <c r="H224" s="125"/>
      <c r="I224" s="125"/>
    </row>
    <row r="225" spans="3:9" x14ac:dyDescent="0.5">
      <c r="C225" s="125"/>
      <c r="D225" s="125"/>
      <c r="E225" s="125"/>
      <c r="F225" s="125"/>
      <c r="G225" s="125"/>
      <c r="H225" s="125"/>
      <c r="I225" s="125"/>
    </row>
    <row r="226" spans="3:9" x14ac:dyDescent="0.5">
      <c r="C226" s="125"/>
      <c r="D226" s="125"/>
      <c r="E226" s="125"/>
      <c r="F226" s="125"/>
      <c r="G226" s="125"/>
      <c r="H226" s="125"/>
      <c r="I226" s="125"/>
    </row>
    <row r="227" spans="3:9" x14ac:dyDescent="0.5">
      <c r="C227" s="125"/>
      <c r="D227" s="125"/>
      <c r="E227" s="125"/>
      <c r="F227" s="125"/>
      <c r="G227" s="125"/>
      <c r="H227" s="125"/>
      <c r="I227" s="125"/>
    </row>
    <row r="228" spans="3:9" x14ac:dyDescent="0.5">
      <c r="C228" s="125"/>
      <c r="D228" s="125"/>
      <c r="E228" s="125"/>
      <c r="F228" s="125"/>
      <c r="G228" s="125"/>
      <c r="H228" s="125"/>
      <c r="I228" s="125"/>
    </row>
    <row r="229" spans="3:9" x14ac:dyDescent="0.5">
      <c r="C229" s="125"/>
      <c r="D229" s="125"/>
      <c r="E229" s="125"/>
      <c r="F229" s="125"/>
      <c r="G229" s="125"/>
      <c r="H229" s="125"/>
      <c r="I229" s="125"/>
    </row>
  </sheetData>
  <mergeCells count="8">
    <mergeCell ref="J11:J13"/>
    <mergeCell ref="K11:K13"/>
    <mergeCell ref="L11:L13"/>
    <mergeCell ref="B26:L27"/>
    <mergeCell ref="F11:F13"/>
    <mergeCell ref="G11:G13"/>
    <mergeCell ref="H11:H13"/>
    <mergeCell ref="I11:I13"/>
  </mergeCells>
  <hyperlinks>
    <hyperlink ref="B25" r:id="rId1" xr:uid="{00000000-0004-0000-0300-000000000000}"/>
  </hyperlinks>
  <pageMargins left="0.37" right="0" top="0.26" bottom="0" header="0.16" footer="0.17"/>
  <pageSetup paperSize="9" scale="48" orientation="portrait" horizontalDpi="4294967292" verticalDpi="180" r:id="rId2"/>
  <headerFooter alignWithMargins="0">
    <oddHeader>&amp;R&amp;8&amp;F &amp;D T4 Bd/Beratung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20801" r:id="rId5" name="Button 1">
              <controlPr defaultSize="0" print="0" autoFill="0" autoPict="0" macro="[0]!Wyniki_2">
                <anchor moveWithCells="1" sizeWithCells="1">
                  <from>
                    <xdr:col>1</xdr:col>
                    <xdr:colOff>30480</xdr:colOff>
                    <xdr:row>2</xdr:row>
                    <xdr:rowOff>60960</xdr:rowOff>
                  </from>
                  <to>
                    <xdr:col>1</xdr:col>
                    <xdr:colOff>1501140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814" r:id="rId6" name="Button 14">
              <controlPr defaultSize="0" print="0" autoFill="0" autoPict="0" macro="[0]!Wyniki_2">
                <anchor moveWithCells="1" sizeWithCells="1">
                  <from>
                    <xdr:col>1</xdr:col>
                    <xdr:colOff>76200</xdr:colOff>
                    <xdr:row>28</xdr:row>
                    <xdr:rowOff>106680</xdr:rowOff>
                  </from>
                  <to>
                    <xdr:col>1</xdr:col>
                    <xdr:colOff>1546860</xdr:colOff>
                    <xdr:row>30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832" r:id="rId7" name="Button 32">
              <controlPr defaultSize="0" print="0" autoFill="0" autoPict="0" macro="[0]!Przycisk32_Kliknięcie">
                <anchor moveWithCells="1" sizeWithCells="1">
                  <from>
                    <xdr:col>1</xdr:col>
                    <xdr:colOff>22860</xdr:colOff>
                    <xdr:row>4</xdr:row>
                    <xdr:rowOff>68580</xdr:rowOff>
                  </from>
                  <to>
                    <xdr:col>1</xdr:col>
                    <xdr:colOff>1493520</xdr:colOff>
                    <xdr:row>6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833" r:id="rId8" name="Button 33">
              <controlPr defaultSize="0" print="0" autoFill="0" autoPict="0" macro="[0]!Przycisk32_Kliknięcie">
                <anchor moveWithCells="1" sizeWithCells="1">
                  <from>
                    <xdr:col>1</xdr:col>
                    <xdr:colOff>60960</xdr:colOff>
                    <xdr:row>31</xdr:row>
                    <xdr:rowOff>22860</xdr:rowOff>
                  </from>
                  <to>
                    <xdr:col>1</xdr:col>
                    <xdr:colOff>1531620</xdr:colOff>
                    <xdr:row>32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998" r:id="rId9" name="Button 198">
              <controlPr defaultSize="0" print="0" autoFill="0" autoPict="0" macro="[0]!Start2">
                <anchor moveWithCells="1" sizeWithCells="1">
                  <from>
                    <xdr:col>1</xdr:col>
                    <xdr:colOff>1569720</xdr:colOff>
                    <xdr:row>28</xdr:row>
                    <xdr:rowOff>137160</xdr:rowOff>
                  </from>
                  <to>
                    <xdr:col>1</xdr:col>
                    <xdr:colOff>2560320</xdr:colOff>
                    <xdr:row>30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0999" r:id="rId10" name="Button 199">
              <controlPr defaultSize="0" print="0" autoFill="0" autoPict="0" macro="[0]!Przycisk178_Kliknięcie">
                <anchor moveWithCells="1" sizeWithCells="1">
                  <from>
                    <xdr:col>1</xdr:col>
                    <xdr:colOff>2590800</xdr:colOff>
                    <xdr:row>28</xdr:row>
                    <xdr:rowOff>129540</xdr:rowOff>
                  </from>
                  <to>
                    <xdr:col>2</xdr:col>
                    <xdr:colOff>281940</xdr:colOff>
                    <xdr:row>30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000" r:id="rId11" name="Button 200">
              <controlPr defaultSize="0" print="0" autoFill="0" autoPict="0" macro="[0]!Przycisk86_Kliknięcie">
                <anchor moveWithCells="1" sizeWithCells="1">
                  <from>
                    <xdr:col>2</xdr:col>
                    <xdr:colOff>335280</xdr:colOff>
                    <xdr:row>28</xdr:row>
                    <xdr:rowOff>129540</xdr:rowOff>
                  </from>
                  <to>
                    <xdr:col>2</xdr:col>
                    <xdr:colOff>1318260</xdr:colOff>
                    <xdr:row>30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21001" r:id="rId12" name="Button 201">
              <controlPr defaultSize="0" print="0" autoFill="0" autoPict="0" macro="[0]!Przycisk177_Kliknięcie">
                <anchor moveWithCells="1" sizeWithCells="1">
                  <from>
                    <xdr:col>3</xdr:col>
                    <xdr:colOff>15240</xdr:colOff>
                    <xdr:row>28</xdr:row>
                    <xdr:rowOff>114300</xdr:rowOff>
                  </from>
                  <to>
                    <xdr:col>4</xdr:col>
                    <xdr:colOff>167640</xdr:colOff>
                    <xdr:row>30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1">
    <pageSetUpPr fitToPage="1"/>
  </sheetPr>
  <dimension ref="A5:R317"/>
  <sheetViews>
    <sheetView showZeros="0" topLeftCell="A45" zoomScale="80" zoomScaleNormal="80" workbookViewId="0">
      <selection activeCell="J51" sqref="J51"/>
    </sheetView>
  </sheetViews>
  <sheetFormatPr defaultColWidth="11.44140625" defaultRowHeight="12.9" x14ac:dyDescent="0.5"/>
  <cols>
    <col min="1" max="1" width="5.88671875" style="4" customWidth="1"/>
    <col min="2" max="2" width="47.88671875" style="4" customWidth="1"/>
    <col min="3" max="3" width="19.44140625" style="4" customWidth="1"/>
    <col min="4" max="4" width="12.33203125" style="4" customWidth="1"/>
    <col min="5" max="5" width="15.6640625" style="4" customWidth="1"/>
    <col min="6" max="12" width="15.109375" style="4" customWidth="1"/>
    <col min="13" max="13" width="16.6640625" style="4" customWidth="1"/>
    <col min="14" max="16384" width="11.44140625" style="4"/>
  </cols>
  <sheetData>
    <row r="5" spans="1:12" ht="18.3" x14ac:dyDescent="0.7">
      <c r="B5" s="6" t="s">
        <v>108</v>
      </c>
    </row>
    <row r="6" spans="1:12" x14ac:dyDescent="0.5">
      <c r="B6" s="5"/>
    </row>
    <row r="8" spans="1:12" ht="14.4" x14ac:dyDescent="0.5">
      <c r="A8" s="7"/>
      <c r="B8" s="3" t="s">
        <v>114</v>
      </c>
      <c r="C8" s="175" t="s">
        <v>115</v>
      </c>
    </row>
    <row r="9" spans="1:12" ht="14.4" x14ac:dyDescent="0.5">
      <c r="B9" s="8" t="s">
        <v>67</v>
      </c>
      <c r="C9" s="179" t="s">
        <v>81</v>
      </c>
    </row>
    <row r="10" spans="1:12" ht="18" customHeight="1" x14ac:dyDescent="0.7">
      <c r="B10" s="9" t="s">
        <v>2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 spans="1:12" ht="15" customHeight="1" x14ac:dyDescent="0.5">
      <c r="B11" s="12" t="s">
        <v>109</v>
      </c>
      <c r="C11" s="223">
        <f>'Dane budynku 1'!C11</f>
        <v>130</v>
      </c>
      <c r="D11" s="13" t="s">
        <v>83</v>
      </c>
      <c r="E11" s="124" t="s">
        <v>110</v>
      </c>
      <c r="L11" s="14"/>
    </row>
    <row r="12" spans="1:12" ht="15" customHeight="1" x14ac:dyDescent="0.5">
      <c r="B12" s="12" t="s">
        <v>87</v>
      </c>
      <c r="C12" s="223">
        <f>'Dane budynku 1'!C12</f>
        <v>40</v>
      </c>
      <c r="D12" s="13" t="s">
        <v>84</v>
      </c>
      <c r="E12" s="124"/>
      <c r="L12" s="14"/>
    </row>
    <row r="13" spans="1:12" ht="15" customHeight="1" x14ac:dyDescent="0.5">
      <c r="B13" s="12" t="s">
        <v>88</v>
      </c>
      <c r="C13" s="223">
        <f>'Dane budynku 1'!C17</f>
        <v>5200</v>
      </c>
      <c r="D13" s="13" t="s">
        <v>90</v>
      </c>
      <c r="E13" s="244">
        <f>C13/C19</f>
        <v>0.57569886520896763</v>
      </c>
      <c r="L13" s="14"/>
    </row>
    <row r="14" spans="1:12" ht="15" customHeight="1" x14ac:dyDescent="0.55000000000000004">
      <c r="B14" s="12" t="s">
        <v>73</v>
      </c>
      <c r="C14" s="223">
        <f>'Dane budynku 1'!C13</f>
        <v>4</v>
      </c>
      <c r="D14" s="15" t="s">
        <v>74</v>
      </c>
      <c r="E14" s="124"/>
      <c r="L14" s="14"/>
    </row>
    <row r="15" spans="1:12" ht="15" customHeight="1" x14ac:dyDescent="0.55000000000000004">
      <c r="B15" s="12" t="s">
        <v>75</v>
      </c>
      <c r="C15" s="223">
        <f>'Dane budynku 1'!C14</f>
        <v>50</v>
      </c>
      <c r="D15" s="15" t="s">
        <v>76</v>
      </c>
      <c r="E15" s="124"/>
      <c r="L15" s="14"/>
    </row>
    <row r="16" spans="1:12" ht="15" customHeight="1" x14ac:dyDescent="0.55000000000000004">
      <c r="B16" s="12" t="s">
        <v>77</v>
      </c>
      <c r="C16" s="223">
        <f>'Dane budynku 1'!C15</f>
        <v>55</v>
      </c>
      <c r="D16" s="16" t="s">
        <v>85</v>
      </c>
      <c r="E16" s="124"/>
      <c r="L16" s="14"/>
    </row>
    <row r="17" spans="2:14" ht="15" customHeight="1" x14ac:dyDescent="0.55000000000000004">
      <c r="B17" s="12" t="s">
        <v>78</v>
      </c>
      <c r="C17" s="223">
        <f>'Dane budynku 1'!C16</f>
        <v>10</v>
      </c>
      <c r="D17" s="16" t="s">
        <v>85</v>
      </c>
      <c r="E17" s="124"/>
      <c r="L17" s="14"/>
    </row>
    <row r="18" spans="2:14" ht="15" customHeight="1" x14ac:dyDescent="0.55000000000000004">
      <c r="B18" s="17" t="s">
        <v>79</v>
      </c>
      <c r="C18" s="223">
        <f>'Dane budynku 1'!C18</f>
        <v>3832.5</v>
      </c>
      <c r="D18" s="15" t="s">
        <v>3</v>
      </c>
      <c r="E18" s="244">
        <f>C18/C19</f>
        <v>0.42430113479103237</v>
      </c>
      <c r="F18" s="18"/>
      <c r="L18" s="14"/>
    </row>
    <row r="19" spans="2:14" ht="15" customHeight="1" x14ac:dyDescent="0.55000000000000004">
      <c r="B19" s="19" t="s">
        <v>91</v>
      </c>
      <c r="C19" s="223">
        <f>'Dane budynku 1'!C19</f>
        <v>9032.5</v>
      </c>
      <c r="D19" s="15" t="s">
        <v>3</v>
      </c>
      <c r="E19" s="244">
        <f>C19/C19</f>
        <v>1</v>
      </c>
      <c r="J19" s="20"/>
      <c r="K19" s="20"/>
      <c r="L19" s="14"/>
    </row>
    <row r="20" spans="2:14" ht="15" customHeight="1" x14ac:dyDescent="0.55000000000000004">
      <c r="B20" s="19" t="s">
        <v>97</v>
      </c>
      <c r="C20" s="223">
        <f>'Dane budynku 1'!C20</f>
        <v>1500</v>
      </c>
      <c r="D20" s="15" t="s">
        <v>3</v>
      </c>
      <c r="J20" s="20"/>
      <c r="K20" s="20"/>
      <c r="L20" s="14"/>
    </row>
    <row r="21" spans="2:14" ht="15" customHeight="1" x14ac:dyDescent="0.55000000000000004">
      <c r="B21" s="19" t="s">
        <v>30</v>
      </c>
      <c r="C21" s="195">
        <f>'Dane budynku 1'!C22</f>
        <v>2.5999999999999999E-2</v>
      </c>
      <c r="J21" s="20"/>
      <c r="K21" s="20"/>
      <c r="L21" s="14"/>
    </row>
    <row r="22" spans="2:14" ht="15" customHeight="1" x14ac:dyDescent="0.55000000000000004">
      <c r="B22" s="19" t="s">
        <v>32</v>
      </c>
      <c r="C22" s="195">
        <f>'Dane budynku 1'!C21</f>
        <v>0.02</v>
      </c>
      <c r="G22" s="21" t="s">
        <v>70</v>
      </c>
      <c r="J22" s="20"/>
      <c r="K22" s="20"/>
      <c r="L22" s="14"/>
    </row>
    <row r="23" spans="2:14" ht="15" customHeight="1" x14ac:dyDescent="0.55000000000000004">
      <c r="B23" s="19" t="s">
        <v>94</v>
      </c>
      <c r="C23" s="223">
        <f>'Dane budynku 1'!C24</f>
        <v>15</v>
      </c>
      <c r="D23" s="18" t="s">
        <v>82</v>
      </c>
      <c r="G23" s="22" t="s">
        <v>86</v>
      </c>
      <c r="J23" s="20"/>
      <c r="K23" s="20"/>
      <c r="L23" s="14"/>
    </row>
    <row r="24" spans="2:14" ht="15" customHeight="1" x14ac:dyDescent="0.55000000000000004">
      <c r="B24" s="19" t="s">
        <v>112</v>
      </c>
      <c r="C24" s="223">
        <f>'Dane eksploatacja 4'!C17</f>
        <v>47</v>
      </c>
      <c r="D24" s="18" t="s">
        <v>113</v>
      </c>
      <c r="G24" s="22"/>
      <c r="J24" s="20"/>
      <c r="K24" s="20"/>
      <c r="L24" s="14"/>
    </row>
    <row r="25" spans="2:14" ht="9" customHeight="1" x14ac:dyDescent="0.5">
      <c r="B25" s="23"/>
      <c r="C25" s="2"/>
      <c r="E25" s="18"/>
      <c r="H25" s="24"/>
      <c r="I25" s="24"/>
      <c r="J25" s="20"/>
      <c r="K25" s="20"/>
      <c r="L25" s="14"/>
    </row>
    <row r="26" spans="2:14" x14ac:dyDescent="0.5">
      <c r="B26" s="166"/>
      <c r="C26" s="167"/>
      <c r="D26" s="167"/>
      <c r="E26" s="168"/>
      <c r="F26" s="304" t="str">
        <f>'Dane sprawność 2'!E11</f>
        <v>Kocioł gazowy, kondensacyjny o spr. 87%    Wariant A</v>
      </c>
      <c r="G26" s="304" t="str">
        <f>'Dane sprawność 2'!F11</f>
        <v>Gazowa pompa ciepła z wsp.  SPER 124%    Wariant B</v>
      </c>
      <c r="H26" s="304" t="str">
        <f>'Dane sprawność 2'!G11</f>
        <v>Kocioł na pelet o spr. 83%  Wariant C</v>
      </c>
      <c r="I26" s="304" t="str">
        <f>'Dane sprawność 2'!H11</f>
        <v>Kocioł elektryczny o spr. 94%    Wariant D</v>
      </c>
      <c r="J26" s="304" t="str">
        <f>'Dane sprawność 2'!I11</f>
        <v>PV 3,3 kWp + Pompa c. P/W o SCOP=3,45  Wariant E</v>
      </c>
      <c r="K26" s="304" t="str">
        <f>'Dane sprawność 2'!J11</f>
        <v>Powietrzna pompa ciepła o SCOP = 3,45  Wariant F</v>
      </c>
      <c r="L26" s="304" t="str">
        <f>'Dane sprawność 2'!K11</f>
        <v>Gruntowa pompa ciepła o SCOP = 3,75  Wariant G</v>
      </c>
    </row>
    <row r="27" spans="2:14" x14ac:dyDescent="0.5">
      <c r="B27" s="169"/>
      <c r="C27" s="170"/>
      <c r="D27" s="170"/>
      <c r="E27" s="171"/>
      <c r="F27" s="305"/>
      <c r="G27" s="305"/>
      <c r="H27" s="305"/>
      <c r="I27" s="305"/>
      <c r="J27" s="305"/>
      <c r="K27" s="305"/>
      <c r="L27" s="305"/>
      <c r="N27" s="128"/>
    </row>
    <row r="28" spans="2:14" x14ac:dyDescent="0.5">
      <c r="B28" s="172"/>
      <c r="C28" s="173"/>
      <c r="D28" s="173"/>
      <c r="E28" s="174"/>
      <c r="F28" s="306"/>
      <c r="G28" s="306"/>
      <c r="H28" s="306"/>
      <c r="I28" s="306"/>
      <c r="J28" s="306"/>
      <c r="K28" s="306"/>
      <c r="L28" s="306"/>
    </row>
    <row r="29" spans="2:14" ht="9.75" customHeight="1" x14ac:dyDescent="0.5">
      <c r="B29" s="25"/>
      <c r="E29" s="26"/>
      <c r="G29" s="27"/>
      <c r="I29" s="26"/>
      <c r="J29" s="14"/>
      <c r="K29" s="27"/>
      <c r="L29" s="27"/>
    </row>
    <row r="30" spans="2:14" ht="15" customHeight="1" x14ac:dyDescent="0.6">
      <c r="B30" s="28" t="s">
        <v>128</v>
      </c>
      <c r="C30" s="29"/>
      <c r="D30" s="29"/>
      <c r="E30" s="30"/>
      <c r="F30" s="196">
        <f>'Dane sprawność 2'!E20</f>
        <v>1.4999999999999999E-2</v>
      </c>
      <c r="G30" s="196">
        <f>'Dane sprawność 2'!F20</f>
        <v>1.4999999999999999E-2</v>
      </c>
      <c r="H30" s="196">
        <f>'Dane sprawność 2'!G20</f>
        <v>0.02</v>
      </c>
      <c r="I30" s="196">
        <f>'Dane sprawność 2'!H20</f>
        <v>1.4999999999999999E-2</v>
      </c>
      <c r="J30" s="196">
        <f>'Dane sprawność 2'!I20</f>
        <v>0.02</v>
      </c>
      <c r="K30" s="196">
        <f>'Dane sprawność 2'!J20</f>
        <v>1.4999999999999999E-2</v>
      </c>
      <c r="L30" s="196">
        <f>'Dane sprawność 2'!K20</f>
        <v>1.4999999999999999E-2</v>
      </c>
    </row>
    <row r="31" spans="2:14" ht="15.6" customHeight="1" x14ac:dyDescent="0.6">
      <c r="B31" s="19"/>
      <c r="C31" s="29"/>
      <c r="D31" s="29"/>
      <c r="E31" s="30"/>
      <c r="F31" s="31"/>
      <c r="G31" s="32"/>
      <c r="H31" s="31"/>
      <c r="I31" s="32"/>
      <c r="J31" s="33"/>
      <c r="K31" s="34"/>
      <c r="L31" s="34"/>
    </row>
    <row r="32" spans="2:14" ht="21" customHeight="1" x14ac:dyDescent="0.7">
      <c r="B32" s="35" t="s">
        <v>71</v>
      </c>
      <c r="E32" s="26"/>
      <c r="G32" s="26"/>
      <c r="I32" s="26"/>
      <c r="J32" s="14"/>
      <c r="K32" s="26"/>
      <c r="L32" s="26"/>
    </row>
    <row r="33" spans="2:12" x14ac:dyDescent="0.5">
      <c r="B33" s="23"/>
      <c r="E33" s="26"/>
      <c r="G33" s="26"/>
      <c r="I33" s="26"/>
      <c r="J33" s="14"/>
      <c r="K33" s="26"/>
      <c r="L33" s="26"/>
    </row>
    <row r="34" spans="2:12" ht="15" customHeight="1" x14ac:dyDescent="0.6">
      <c r="B34" s="19" t="s">
        <v>80</v>
      </c>
      <c r="C34" s="29"/>
      <c r="D34" s="29"/>
      <c r="E34" s="30"/>
      <c r="F34" s="195">
        <f>'Dane sprawność 2'!E18</f>
        <v>0.86908386382507619</v>
      </c>
      <c r="G34" s="195">
        <f>'Dane sprawność 2'!F18</f>
        <v>1.2363548297813451</v>
      </c>
      <c r="H34" s="195">
        <f>'Dane sprawność 2'!G18</f>
        <v>0.82878494326044838</v>
      </c>
      <c r="I34" s="195">
        <f>'Dane sprawność 2'!H18</f>
        <v>0.94029892056462772</v>
      </c>
      <c r="J34" s="195">
        <f>'Dane sprawność 2'!I18</f>
        <v>3.4533772302463888</v>
      </c>
      <c r="K34" s="195">
        <v>1</v>
      </c>
      <c r="L34" s="195">
        <v>1</v>
      </c>
    </row>
    <row r="35" spans="2:12" ht="15" customHeight="1" x14ac:dyDescent="0.6">
      <c r="B35" s="28" t="s">
        <v>184</v>
      </c>
      <c r="C35" s="29"/>
      <c r="D35" s="29"/>
      <c r="E35" s="30"/>
      <c r="F35" s="77">
        <f>'Dane sprawność 2'!E17</f>
        <v>3.5</v>
      </c>
      <c r="G35" s="77">
        <f>'Dane sprawność 2'!F17</f>
        <v>0.7</v>
      </c>
      <c r="H35" s="77">
        <f>'Dane sprawność 2'!G17</f>
        <v>3.5</v>
      </c>
      <c r="I35" s="77">
        <f>'Dane sprawność 2'!H17</f>
        <v>3.5</v>
      </c>
      <c r="J35" s="77">
        <f>'Dane sprawność 2'!I17</f>
        <v>3.5</v>
      </c>
      <c r="K35" s="77">
        <f>'Dane sprawność 2'!J17</f>
        <v>3.5</v>
      </c>
      <c r="L35" s="77">
        <f>'Dane sprawność 2'!K17</f>
        <v>15</v>
      </c>
    </row>
    <row r="36" spans="2:12" ht="15" customHeight="1" x14ac:dyDescent="0.6">
      <c r="B36" s="28" t="s">
        <v>46</v>
      </c>
      <c r="C36" s="29"/>
      <c r="D36" s="29"/>
      <c r="E36" s="30"/>
      <c r="F36" s="37"/>
      <c r="G36" s="177"/>
      <c r="H36" s="178">
        <v>0</v>
      </c>
      <c r="I36" s="90"/>
      <c r="J36" s="36"/>
      <c r="K36" s="36"/>
      <c r="L36" s="36"/>
    </row>
    <row r="37" spans="2:12" ht="15" customHeight="1" x14ac:dyDescent="0.6">
      <c r="B37" s="28" t="s">
        <v>116</v>
      </c>
      <c r="C37" s="29"/>
      <c r="D37" s="29"/>
      <c r="E37" s="30"/>
      <c r="G37" s="177"/>
      <c r="H37" s="178">
        <v>0</v>
      </c>
      <c r="I37" s="90"/>
      <c r="J37" s="36"/>
      <c r="K37" s="36"/>
      <c r="L37" s="36"/>
    </row>
    <row r="38" spans="2:12" ht="15" customHeight="1" x14ac:dyDescent="0.6">
      <c r="B38" s="28" t="s">
        <v>96</v>
      </c>
      <c r="C38" s="29"/>
      <c r="D38" s="29"/>
      <c r="E38" s="30"/>
      <c r="F38" s="38">
        <f t="shared" ref="F38:L38" si="0">F36*F37</f>
        <v>0</v>
      </c>
      <c r="G38" s="38">
        <f t="shared" si="0"/>
        <v>0</v>
      </c>
      <c r="H38" s="38">
        <f t="shared" si="0"/>
        <v>0</v>
      </c>
      <c r="I38" s="38">
        <f t="shared" si="0"/>
        <v>0</v>
      </c>
      <c r="J38" s="38">
        <f t="shared" si="0"/>
        <v>0</v>
      </c>
      <c r="K38" s="38">
        <f t="shared" si="0"/>
        <v>0</v>
      </c>
      <c r="L38" s="38">
        <f t="shared" si="0"/>
        <v>0</v>
      </c>
    </row>
    <row r="39" spans="2:12" ht="15" customHeight="1" x14ac:dyDescent="0.6">
      <c r="B39" s="28" t="s">
        <v>63</v>
      </c>
      <c r="C39" s="29"/>
      <c r="D39" s="29"/>
      <c r="E39" s="39" t="s">
        <v>3</v>
      </c>
      <c r="F39" s="40">
        <f>C19/F34*(1-F37*F36)</f>
        <v>10393.128184713374</v>
      </c>
      <c r="G39" s="41">
        <f>C19/G34</f>
        <v>7305.7505680609811</v>
      </c>
      <c r="H39" s="41">
        <f>(C19*(1-H36*H37))/H34</f>
        <v>10898.484671386588</v>
      </c>
      <c r="I39" s="40">
        <f>C19/I34*(1-I37*I36)</f>
        <v>9605.9878432873174</v>
      </c>
      <c r="J39" s="40">
        <f>C19/J34</f>
        <v>2615.5555555555557</v>
      </c>
      <c r="K39" s="40">
        <f>C19/K34</f>
        <v>9032.5</v>
      </c>
      <c r="L39" s="40">
        <f>C19/L34</f>
        <v>9032.5</v>
      </c>
    </row>
    <row r="40" spans="2:12" ht="15" customHeight="1" x14ac:dyDescent="0.6">
      <c r="B40" s="28" t="s">
        <v>39</v>
      </c>
      <c r="C40" s="29"/>
      <c r="D40" s="29"/>
      <c r="E40" s="42" t="s">
        <v>111</v>
      </c>
      <c r="F40" s="43">
        <f>F39/10.5</f>
        <v>989.82173187746423</v>
      </c>
      <c r="G40" s="44">
        <f>G39/10.5</f>
        <v>695.78576838676008</v>
      </c>
      <c r="H40" s="45">
        <f>H39</f>
        <v>10898.484671386588</v>
      </c>
      <c r="I40" s="44"/>
      <c r="J40" s="45"/>
      <c r="K40" s="44"/>
      <c r="L40" s="44"/>
    </row>
    <row r="41" spans="2:12" ht="15" customHeight="1" x14ac:dyDescent="0.6">
      <c r="B41" s="130" t="s">
        <v>69</v>
      </c>
      <c r="C41" s="29"/>
      <c r="D41" s="29"/>
      <c r="E41" s="30"/>
      <c r="F41" s="46"/>
      <c r="G41" s="47"/>
      <c r="H41" s="47"/>
      <c r="I41" s="46"/>
      <c r="J41" s="46"/>
      <c r="K41" s="197">
        <f>'Dane sprawność 2'!J18</f>
        <v>3.4533772302463888</v>
      </c>
      <c r="L41" s="197">
        <f>'Dane sprawność 2'!K18</f>
        <v>3.7480487403260336</v>
      </c>
    </row>
    <row r="42" spans="2:12" ht="15" customHeight="1" x14ac:dyDescent="0.6">
      <c r="B42" s="48" t="s">
        <v>0</v>
      </c>
      <c r="C42" s="49" t="s">
        <v>0</v>
      </c>
      <c r="E42" s="39" t="s">
        <v>3</v>
      </c>
      <c r="F42" s="46"/>
      <c r="G42" s="47"/>
      <c r="H42" s="46"/>
      <c r="I42" s="44">
        <f>I39</f>
        <v>9605.9878432873174</v>
      </c>
      <c r="J42" s="44">
        <f>J39</f>
        <v>2615.5555555555557</v>
      </c>
      <c r="K42" s="44">
        <f>K39/K41</f>
        <v>2615.5555555555557</v>
      </c>
      <c r="L42" s="44">
        <f>L39/L41</f>
        <v>2409.9206349206347</v>
      </c>
    </row>
    <row r="43" spans="2:12" ht="15" customHeight="1" x14ac:dyDescent="0.6">
      <c r="B43" s="48" t="s">
        <v>0</v>
      </c>
      <c r="C43" s="49" t="s">
        <v>0</v>
      </c>
      <c r="E43" s="39"/>
      <c r="F43" s="46"/>
      <c r="G43" s="47"/>
      <c r="H43" s="46"/>
      <c r="I43" s="44"/>
      <c r="J43" s="44"/>
      <c r="K43" s="44"/>
      <c r="L43" s="44"/>
    </row>
    <row r="44" spans="2:12" ht="15" customHeight="1" x14ac:dyDescent="0.6">
      <c r="B44" s="48" t="s">
        <v>0</v>
      </c>
      <c r="C44" s="49" t="s">
        <v>0</v>
      </c>
      <c r="D44" s="29"/>
      <c r="E44" s="30"/>
      <c r="F44" s="50" t="e">
        <f>(C42*#REF!+J64*C43)/100</f>
        <v>#VALUE!</v>
      </c>
      <c r="G44" s="47"/>
      <c r="H44" s="46"/>
      <c r="I44" s="47"/>
      <c r="J44" s="47"/>
      <c r="K44" s="47"/>
      <c r="L44" s="47"/>
    </row>
    <row r="45" spans="2:12" ht="23.25" customHeight="1" x14ac:dyDescent="0.6">
      <c r="B45" s="51" t="s">
        <v>64</v>
      </c>
      <c r="C45" s="52"/>
      <c r="D45" s="52"/>
      <c r="E45" s="53" t="s">
        <v>3</v>
      </c>
      <c r="F45" s="1">
        <f>F39</f>
        <v>10393.128184713374</v>
      </c>
      <c r="G45" s="1">
        <f>G39</f>
        <v>7305.7505680609811</v>
      </c>
      <c r="H45" s="1">
        <f>H39</f>
        <v>10898.484671386588</v>
      </c>
      <c r="I45" s="1">
        <f>I42+I43</f>
        <v>9605.9878432873174</v>
      </c>
      <c r="J45" s="1">
        <f>J42+J43</f>
        <v>2615.5555555555557</v>
      </c>
      <c r="K45" s="1">
        <f>K42+K43</f>
        <v>2615.5555555555557</v>
      </c>
      <c r="L45" s="1">
        <f>L42+L43</f>
        <v>2409.9206349206347</v>
      </c>
    </row>
    <row r="46" spans="2:12" ht="15" customHeight="1" x14ac:dyDescent="0.55000000000000004">
      <c r="B46" s="23"/>
      <c r="E46" s="26"/>
      <c r="F46" s="46"/>
      <c r="G46" s="47"/>
      <c r="H46" s="46"/>
      <c r="I46" s="47"/>
      <c r="J46" s="47"/>
      <c r="K46" s="47"/>
      <c r="L46" s="47"/>
    </row>
    <row r="47" spans="2:12" ht="18" customHeight="1" x14ac:dyDescent="0.7">
      <c r="B47" s="35" t="s">
        <v>4</v>
      </c>
      <c r="E47" s="26"/>
      <c r="F47" s="46"/>
      <c r="G47" s="47"/>
      <c r="H47" s="46"/>
      <c r="I47" s="47"/>
      <c r="J47" s="47"/>
      <c r="K47" s="47"/>
      <c r="L47" s="47"/>
    </row>
    <row r="48" spans="2:12" ht="9" customHeight="1" x14ac:dyDescent="0.55000000000000004">
      <c r="B48" s="23"/>
      <c r="E48" s="26"/>
      <c r="F48" s="46"/>
      <c r="G48" s="47"/>
      <c r="H48" s="46"/>
      <c r="I48" s="47"/>
      <c r="J48" s="47"/>
      <c r="K48" s="47"/>
      <c r="L48" s="47"/>
    </row>
    <row r="49" spans="2:12" ht="15" customHeight="1" x14ac:dyDescent="0.6">
      <c r="B49" s="28" t="s">
        <v>23</v>
      </c>
      <c r="C49" s="29"/>
      <c r="D49" s="29"/>
      <c r="E49" s="39" t="s">
        <v>117</v>
      </c>
      <c r="F49" s="222">
        <f>IF('Dane koszty inwestycyjne 3'!F14=0,,'Dane koszty inwestycyjne 3'!F14)</f>
        <v>0</v>
      </c>
      <c r="G49" s="222">
        <f>'Dane koszty inwestycyjne 3'!G14</f>
        <v>0</v>
      </c>
      <c r="H49" s="222">
        <f>'Dane koszty inwestycyjne 3'!H14</f>
        <v>16000</v>
      </c>
      <c r="I49" s="222">
        <f>'Dane koszty inwestycyjne 3'!I14</f>
        <v>0</v>
      </c>
      <c r="J49" s="222">
        <f>'Dane koszty inwestycyjne 3'!J14</f>
        <v>0</v>
      </c>
      <c r="K49" s="222">
        <f>'Dane koszty inwestycyjne 3'!K14</f>
        <v>0</v>
      </c>
      <c r="L49" s="222">
        <f>'Dane koszty inwestycyjne 3'!L14</f>
        <v>0</v>
      </c>
    </row>
    <row r="50" spans="2:12" ht="15" customHeight="1" x14ac:dyDescent="0.6">
      <c r="B50" s="28" t="s">
        <v>122</v>
      </c>
      <c r="C50" s="29"/>
      <c r="D50" s="29"/>
      <c r="E50" s="39" t="s">
        <v>117</v>
      </c>
      <c r="F50" s="222">
        <f>'Dane koszty inwestycyjne 3'!F15</f>
        <v>0</v>
      </c>
      <c r="G50" s="222">
        <f>'Dane koszty inwestycyjne 3'!G15</f>
        <v>0</v>
      </c>
      <c r="H50" s="222">
        <f>'Dane koszty inwestycyjne 3'!H15</f>
        <v>0</v>
      </c>
      <c r="I50" s="222">
        <f>'Dane koszty inwestycyjne 3'!I15</f>
        <v>0</v>
      </c>
      <c r="J50" s="222">
        <f>'Dane koszty inwestycyjne 3'!J15</f>
        <v>0</v>
      </c>
      <c r="K50" s="222">
        <f>'Dane koszty inwestycyjne 3'!K15</f>
        <v>0</v>
      </c>
      <c r="L50" s="222">
        <f>'Dane koszty inwestycyjne 3'!L15</f>
        <v>0</v>
      </c>
    </row>
    <row r="51" spans="2:12" ht="15" customHeight="1" x14ac:dyDescent="0.6">
      <c r="B51" s="28" t="s">
        <v>188</v>
      </c>
      <c r="C51" s="29"/>
      <c r="D51" s="29"/>
      <c r="E51" s="39" t="s">
        <v>117</v>
      </c>
      <c r="F51" s="222">
        <f>'Dane koszty inwestycyjne 3'!F16</f>
        <v>6000</v>
      </c>
      <c r="G51" s="222">
        <f>'Dane koszty inwestycyjne 3'!G16</f>
        <v>0</v>
      </c>
      <c r="H51" s="222">
        <f>'Dane koszty inwestycyjne 3'!H16</f>
        <v>6000</v>
      </c>
      <c r="I51" s="222">
        <f>'Dane koszty inwestycyjne 3'!I16</f>
        <v>6000</v>
      </c>
      <c r="J51" s="222">
        <f>'Dane koszty inwestycyjne 3'!J16</f>
        <v>15981.666666666666</v>
      </c>
      <c r="K51" s="222">
        <f>'Dane koszty inwestycyjne 3'!K16</f>
        <v>0</v>
      </c>
      <c r="L51" s="222">
        <f>'Dane koszty inwestycyjne 3'!L16</f>
        <v>3000</v>
      </c>
    </row>
    <row r="52" spans="2:12" ht="15" customHeight="1" x14ac:dyDescent="0.6">
      <c r="B52" s="28" t="s">
        <v>41</v>
      </c>
      <c r="C52" s="29"/>
      <c r="D52" s="29"/>
      <c r="E52" s="39" t="s">
        <v>117</v>
      </c>
      <c r="F52" s="222">
        <f>'Dane koszty inwestycyjne 3'!F17</f>
        <v>3000</v>
      </c>
      <c r="G52" s="222">
        <f>'Dane koszty inwestycyjne 3'!G17</f>
        <v>0</v>
      </c>
      <c r="H52" s="222">
        <f>'Dane koszty inwestycyjne 3'!H17</f>
        <v>4000</v>
      </c>
      <c r="I52" s="222">
        <f>'Dane koszty inwestycyjne 3'!I17</f>
        <v>0</v>
      </c>
      <c r="J52" s="222">
        <f>'Dane koszty inwestycyjne 3'!J17</f>
        <v>0</v>
      </c>
      <c r="K52" s="222">
        <f>'Dane koszty inwestycyjne 3'!K17</f>
        <v>0</v>
      </c>
      <c r="L52" s="222">
        <f>'Dane koszty inwestycyjne 3'!L17</f>
        <v>0</v>
      </c>
    </row>
    <row r="53" spans="2:12" ht="15" customHeight="1" x14ac:dyDescent="0.6">
      <c r="B53" s="28" t="s">
        <v>68</v>
      </c>
      <c r="C53" s="29"/>
      <c r="D53" s="29"/>
      <c r="E53" s="39" t="s">
        <v>117</v>
      </c>
      <c r="F53" s="222">
        <f>'Dane koszty inwestycyjne 3'!F18</f>
        <v>10000</v>
      </c>
      <c r="G53" s="222">
        <f>'Dane koszty inwestycyjne 3'!G18</f>
        <v>0</v>
      </c>
      <c r="H53" s="222">
        <f>'Dane koszty inwestycyjne 3'!H18</f>
        <v>14000</v>
      </c>
      <c r="I53" s="222">
        <f>'Dane koszty inwestycyjne 3'!I18</f>
        <v>5500</v>
      </c>
      <c r="J53" s="222">
        <f>'Dane koszty inwestycyjne 3'!J18</f>
        <v>0</v>
      </c>
      <c r="K53" s="222">
        <f>'Dane koszty inwestycyjne 3'!K18</f>
        <v>0</v>
      </c>
      <c r="L53" s="222">
        <f>'Dane koszty inwestycyjne 3'!L18</f>
        <v>0</v>
      </c>
    </row>
    <row r="54" spans="2:12" ht="15" customHeight="1" x14ac:dyDescent="0.6">
      <c r="B54" s="28" t="s">
        <v>40</v>
      </c>
      <c r="C54" s="29"/>
      <c r="D54" s="29"/>
      <c r="E54" s="39" t="s">
        <v>117</v>
      </c>
      <c r="F54" s="222">
        <f>'Dane koszty inwestycyjne 3'!F19</f>
        <v>7000</v>
      </c>
      <c r="G54" s="222">
        <f>'Dane koszty inwestycyjne 3'!G19</f>
        <v>7000</v>
      </c>
      <c r="H54" s="222">
        <f>'Dane koszty inwestycyjne 3'!H19</f>
        <v>0</v>
      </c>
      <c r="I54" s="222">
        <f>'Dane koszty inwestycyjne 3'!I19</f>
        <v>0</v>
      </c>
      <c r="J54" s="222">
        <f>'Dane koszty inwestycyjne 3'!J19</f>
        <v>0</v>
      </c>
      <c r="K54" s="222">
        <f>'Dane koszty inwestycyjne 3'!K19</f>
        <v>0</v>
      </c>
      <c r="L54" s="222">
        <f>'Dane koszty inwestycyjne 3'!L19</f>
        <v>0</v>
      </c>
    </row>
    <row r="55" spans="2:12" ht="15" customHeight="1" x14ac:dyDescent="0.6">
      <c r="B55" s="28" t="s">
        <v>95</v>
      </c>
      <c r="C55" s="29"/>
      <c r="D55" s="29"/>
      <c r="E55" s="39" t="s">
        <v>117</v>
      </c>
      <c r="F55" s="222">
        <f>'Dane koszty inwestycyjne 3'!F20</f>
        <v>0</v>
      </c>
      <c r="G55" s="222">
        <f>'Dane koszty inwestycyjne 3'!G20</f>
        <v>45000</v>
      </c>
      <c r="H55" s="222">
        <f>'Dane koszty inwestycyjne 3'!H20</f>
        <v>0</v>
      </c>
      <c r="I55" s="222">
        <f>'Dane koszty inwestycyjne 3'!I20</f>
        <v>0</v>
      </c>
      <c r="J55" s="222">
        <f>'Dane koszty inwestycyjne 3'!J20</f>
        <v>28000</v>
      </c>
      <c r="K55" s="222">
        <f>'Dane koszty inwestycyjne 3'!K20</f>
        <v>28000</v>
      </c>
      <c r="L55" s="222">
        <f>'Dane koszty inwestycyjne 3'!L20</f>
        <v>28000</v>
      </c>
    </row>
    <row r="56" spans="2:12" ht="15" customHeight="1" x14ac:dyDescent="0.6">
      <c r="B56" s="28" t="s">
        <v>38</v>
      </c>
      <c r="C56" s="29"/>
      <c r="D56" s="29"/>
      <c r="E56" s="39" t="s">
        <v>117</v>
      </c>
      <c r="F56" s="222">
        <f>'Dane koszty inwestycyjne 3'!F21</f>
        <v>0</v>
      </c>
      <c r="G56" s="222">
        <f>'Dane koszty inwestycyjne 3'!G21</f>
        <v>0</v>
      </c>
      <c r="H56" s="222">
        <f>'Dane koszty inwestycyjne 3'!H21</f>
        <v>0</v>
      </c>
      <c r="I56" s="222">
        <f>'Dane koszty inwestycyjne 3'!I21</f>
        <v>0</v>
      </c>
      <c r="J56" s="222">
        <f>'Dane koszty inwestycyjne 3'!J21</f>
        <v>0</v>
      </c>
      <c r="K56" s="222">
        <f>'Dane koszty inwestycyjne 3'!K21</f>
        <v>0</v>
      </c>
      <c r="L56" s="222">
        <f>'Dane koszty inwestycyjne 3'!L21</f>
        <v>15000</v>
      </c>
    </row>
    <row r="57" spans="2:12" ht="15" customHeight="1" x14ac:dyDescent="0.6">
      <c r="B57" s="28" t="s">
        <v>13</v>
      </c>
      <c r="C57" s="29"/>
      <c r="D57" s="29"/>
      <c r="E57" s="39" t="s">
        <v>117</v>
      </c>
      <c r="F57" s="222">
        <f>'Dane koszty inwestycyjne 3'!F22</f>
        <v>0</v>
      </c>
      <c r="G57" s="222">
        <f>'Dane koszty inwestycyjne 3'!G22</f>
        <v>0</v>
      </c>
      <c r="H57" s="222">
        <f>'Dane koszty inwestycyjne 3'!H22</f>
        <v>0</v>
      </c>
      <c r="I57" s="222">
        <f>'Dane koszty inwestycyjne 3'!I22</f>
        <v>0</v>
      </c>
      <c r="J57" s="222">
        <f>'Dane koszty inwestycyjne 3'!J22</f>
        <v>0</v>
      </c>
      <c r="K57" s="222">
        <f>'Dane koszty inwestycyjne 3'!K22</f>
        <v>0</v>
      </c>
      <c r="L57" s="222">
        <f>'Dane koszty inwestycyjne 3'!L22</f>
        <v>0</v>
      </c>
    </row>
    <row r="58" spans="2:12" ht="15" customHeight="1" x14ac:dyDescent="0.6">
      <c r="B58" s="54" t="s">
        <v>24</v>
      </c>
      <c r="C58" s="55"/>
      <c r="D58" s="55"/>
      <c r="E58" s="56" t="s">
        <v>117</v>
      </c>
      <c r="F58" s="222">
        <f>'Dane koszty inwestycyjne 3'!F23</f>
        <v>0</v>
      </c>
      <c r="G58" s="222">
        <f>'Dane koszty inwestycyjne 3'!G23</f>
        <v>0</v>
      </c>
      <c r="H58" s="222">
        <f>'Dane koszty inwestycyjne 3'!H23</f>
        <v>0</v>
      </c>
      <c r="I58" s="222">
        <f>'Dane koszty inwestycyjne 3'!I23</f>
        <v>0</v>
      </c>
      <c r="J58" s="222">
        <f>'Dane koszty inwestycyjne 3'!J23</f>
        <v>0</v>
      </c>
      <c r="K58" s="222">
        <f>'Dane koszty inwestycyjne 3'!K23</f>
        <v>0</v>
      </c>
      <c r="L58" s="222">
        <f>'Dane koszty inwestycyjne 3'!L23</f>
        <v>0</v>
      </c>
    </row>
    <row r="59" spans="2:12" ht="15" customHeight="1" x14ac:dyDescent="0.6">
      <c r="B59" s="28" t="s">
        <v>89</v>
      </c>
      <c r="C59" s="29"/>
      <c r="D59" s="29"/>
      <c r="E59" s="57" t="s">
        <v>117</v>
      </c>
      <c r="F59" s="222">
        <f>'Dane koszty inwestycyjne 3'!F24</f>
        <v>-5100</v>
      </c>
      <c r="G59" s="222">
        <f>'Dane koszty inwestycyjne 3'!G24</f>
        <v>-13500</v>
      </c>
      <c r="H59" s="222">
        <f>'Dane koszty inwestycyjne 3'!H24</f>
        <v>-5400</v>
      </c>
      <c r="I59" s="222">
        <f>'Dane koszty inwestycyjne 3'!I24</f>
        <v>-1650</v>
      </c>
      <c r="J59" s="222">
        <f>'Dane koszty inwestycyjne 3'!J24</f>
        <v>-13194.499999999998</v>
      </c>
      <c r="K59" s="222">
        <f>'Dane koszty inwestycyjne 3'!K24</f>
        <v>-8400</v>
      </c>
      <c r="L59" s="222">
        <f>'Dane koszty inwestycyjne 3'!L24</f>
        <v>-13800</v>
      </c>
    </row>
    <row r="60" spans="2:12" ht="24" customHeight="1" x14ac:dyDescent="0.6">
      <c r="B60" s="58" t="s">
        <v>5</v>
      </c>
      <c r="C60" s="59"/>
      <c r="D60" s="59"/>
      <c r="E60" s="60" t="s">
        <v>117</v>
      </c>
      <c r="F60" s="61">
        <f>'Dane koszty inwestycyjne 3'!F25</f>
        <v>20900</v>
      </c>
      <c r="G60" s="61">
        <f>'Dane koszty inwestycyjne 3'!G25</f>
        <v>38500</v>
      </c>
      <c r="H60" s="61">
        <f>'Dane koszty inwestycyjne 3'!H25</f>
        <v>34600</v>
      </c>
      <c r="I60" s="61">
        <f>'Dane koszty inwestycyjne 3'!I25</f>
        <v>9850</v>
      </c>
      <c r="J60" s="61">
        <f>'Dane koszty inwestycyjne 3'!J25</f>
        <v>30787.166666666664</v>
      </c>
      <c r="K60" s="61">
        <f>'Dane koszty inwestycyjne 3'!K25</f>
        <v>19600</v>
      </c>
      <c r="L60" s="61">
        <f>'Dane koszty inwestycyjne 3'!L25</f>
        <v>32200</v>
      </c>
    </row>
    <row r="61" spans="2:12" ht="8.25" customHeight="1" x14ac:dyDescent="0.55000000000000004">
      <c r="B61" s="23"/>
      <c r="E61" s="26"/>
      <c r="F61" s="62"/>
      <c r="G61" s="62"/>
      <c r="H61" s="63"/>
      <c r="I61" s="62"/>
      <c r="J61" s="62"/>
      <c r="K61" s="62"/>
      <c r="L61" s="62"/>
    </row>
    <row r="62" spans="2:12" ht="18.3" x14ac:dyDescent="0.7">
      <c r="B62" s="35" t="s">
        <v>15</v>
      </c>
      <c r="E62" s="26"/>
      <c r="F62" s="47"/>
      <c r="G62" s="47"/>
      <c r="H62" s="28"/>
      <c r="I62" s="47"/>
      <c r="J62" s="47"/>
      <c r="K62" s="47"/>
      <c r="L62" s="47"/>
    </row>
    <row r="63" spans="2:12" ht="14.4" x14ac:dyDescent="0.55000000000000004">
      <c r="B63" s="23"/>
      <c r="E63" s="26"/>
      <c r="F63" s="64"/>
      <c r="G63" s="64"/>
      <c r="H63" s="64"/>
      <c r="I63" s="64"/>
      <c r="J63" s="64"/>
      <c r="K63" s="64"/>
      <c r="L63" s="64"/>
    </row>
    <row r="64" spans="2:12" ht="18.75" customHeight="1" x14ac:dyDescent="0.6">
      <c r="B64" s="28" t="s">
        <v>107</v>
      </c>
      <c r="C64" s="4" t="s">
        <v>125</v>
      </c>
      <c r="E64" s="39" t="s">
        <v>118</v>
      </c>
      <c r="F64" s="64">
        <f>'Dane eksploatacja 4'!F17</f>
        <v>0.19</v>
      </c>
      <c r="G64" s="64">
        <f>'Dane eksploatacja 4'!G17</f>
        <v>0.19</v>
      </c>
      <c r="H64" s="64">
        <f>'Dane eksploatacja 4'!H17</f>
        <v>0.13999999999999999</v>
      </c>
      <c r="I64" s="64">
        <f>'Dane eksploatacja 4'!I17</f>
        <v>0.47</v>
      </c>
      <c r="J64" s="64">
        <f>'Dane eksploatacja 4'!J17</f>
        <v>0</v>
      </c>
      <c r="K64" s="64">
        <f>'Dane eksploatacja 4'!K17</f>
        <v>0.47</v>
      </c>
      <c r="L64" s="64">
        <f>'Dane eksploatacja 4'!L17</f>
        <v>0.47</v>
      </c>
    </row>
    <row r="65" spans="2:12" ht="18.75" customHeight="1" x14ac:dyDescent="0.6">
      <c r="B65" s="28" t="s">
        <v>58</v>
      </c>
      <c r="E65" s="39" t="s">
        <v>118</v>
      </c>
      <c r="F65" s="64">
        <f>'Dane eksploatacja 4'!F18</f>
        <v>0.56000000000000005</v>
      </c>
      <c r="G65" s="64">
        <f>'Dane eksploatacja 4'!G18</f>
        <v>0</v>
      </c>
      <c r="H65" s="64">
        <f>'Dane eksploatacja 4'!H18</f>
        <v>0.56000000000000005</v>
      </c>
      <c r="I65" s="64">
        <f>'Dane eksploatacja 4'!I18</f>
        <v>0.47</v>
      </c>
      <c r="J65" s="64">
        <f>'Dane eksploatacja 4'!J18</f>
        <v>0</v>
      </c>
      <c r="K65" s="64">
        <f>'Dane eksploatacja 4'!K18</f>
        <v>0.47</v>
      </c>
      <c r="L65" s="64">
        <f>'Dane eksploatacja 4'!L18</f>
        <v>0.47</v>
      </c>
    </row>
    <row r="66" spans="2:12" ht="19.5" customHeight="1" x14ac:dyDescent="0.6">
      <c r="B66" s="28" t="s">
        <v>36</v>
      </c>
      <c r="C66" s="29"/>
      <c r="D66" s="29"/>
      <c r="E66" s="39" t="s">
        <v>119</v>
      </c>
      <c r="F66" s="65">
        <f>F64*F45</f>
        <v>1974.6943550955411</v>
      </c>
      <c r="G66" s="65">
        <f>G64*G45</f>
        <v>1388.0926079315864</v>
      </c>
      <c r="H66" s="65">
        <f>H64*H45</f>
        <v>1525.7878539941221</v>
      </c>
      <c r="I66" s="65">
        <f>I64*I45</f>
        <v>4514.8142863450394</v>
      </c>
      <c r="J66" s="65">
        <f>J64*J45</f>
        <v>0</v>
      </c>
      <c r="K66" s="65">
        <f>K43*K64+K42*K64</f>
        <v>1229.3111111111111</v>
      </c>
      <c r="L66" s="65">
        <f>L43*L64+L42*L64</f>
        <v>1132.6626984126983</v>
      </c>
    </row>
    <row r="67" spans="2:12" ht="19.5" hidden="1" customHeight="1" x14ac:dyDescent="0.6">
      <c r="B67" s="48"/>
      <c r="C67" s="29"/>
      <c r="D67" s="29"/>
      <c r="E67" s="39"/>
      <c r="F67" s="66"/>
      <c r="G67" s="65"/>
      <c r="H67" s="65"/>
      <c r="I67" s="65"/>
      <c r="J67" s="65"/>
      <c r="K67" s="65"/>
      <c r="L67" s="65"/>
    </row>
    <row r="68" spans="2:12" ht="19.5" customHeight="1" x14ac:dyDescent="0.6">
      <c r="B68" s="28" t="s">
        <v>37</v>
      </c>
      <c r="C68" s="29"/>
      <c r="D68" s="29"/>
      <c r="E68" s="39" t="s">
        <v>119</v>
      </c>
      <c r="F68" s="65">
        <f t="shared" ref="F68:L68" si="1">(F64*F45)*(1+(1+_r)^(T-1)/T)</f>
        <v>2148.398839434788</v>
      </c>
      <c r="G68" s="65">
        <f t="shared" si="1"/>
        <v>1510.1965224202722</v>
      </c>
      <c r="H68" s="65">
        <f t="shared" si="1"/>
        <v>1660.0041653464234</v>
      </c>
      <c r="I68" s="65">
        <f t="shared" si="1"/>
        <v>4911.9610576787154</v>
      </c>
      <c r="J68" s="65">
        <f t="shared" si="1"/>
        <v>0</v>
      </c>
      <c r="K68" s="65">
        <f t="shared" si="1"/>
        <v>1337.4477713983333</v>
      </c>
      <c r="L68" s="65">
        <f t="shared" si="1"/>
        <v>1232.2976568306344</v>
      </c>
    </row>
    <row r="69" spans="2:12" ht="19.5" customHeight="1" x14ac:dyDescent="0.6">
      <c r="B69" s="28" t="s">
        <v>50</v>
      </c>
      <c r="C69" s="29"/>
      <c r="D69" s="29"/>
      <c r="E69" s="39" t="s">
        <v>119</v>
      </c>
      <c r="F69" s="65">
        <f t="shared" ref="F69:L69" si="2">IF(F76=FALSE,F68,F66)</f>
        <v>2148.398839434788</v>
      </c>
      <c r="G69" s="65">
        <f t="shared" si="2"/>
        <v>1510.1965224202722</v>
      </c>
      <c r="H69" s="65">
        <f t="shared" si="2"/>
        <v>1660.0041653464234</v>
      </c>
      <c r="I69" s="65">
        <f t="shared" si="2"/>
        <v>4911.9610576787154</v>
      </c>
      <c r="J69" s="65">
        <f t="shared" si="2"/>
        <v>0</v>
      </c>
      <c r="K69" s="65">
        <f t="shared" si="2"/>
        <v>1337.4477713983333</v>
      </c>
      <c r="L69" s="65">
        <f t="shared" si="2"/>
        <v>1232.2976568306344</v>
      </c>
    </row>
    <row r="70" spans="2:12" ht="11.25" customHeight="1" x14ac:dyDescent="0.6">
      <c r="B70" s="28"/>
      <c r="C70" s="29"/>
      <c r="D70" s="29"/>
      <c r="E70" s="26"/>
      <c r="F70" s="47"/>
      <c r="G70" s="47"/>
      <c r="H70" s="28"/>
      <c r="I70" s="47"/>
      <c r="J70" s="47"/>
      <c r="K70" s="47"/>
      <c r="L70" s="47"/>
    </row>
    <row r="71" spans="2:12" ht="15.6" x14ac:dyDescent="0.6">
      <c r="B71" s="28" t="s">
        <v>98</v>
      </c>
      <c r="C71" s="29"/>
      <c r="D71" s="29"/>
      <c r="E71" s="39" t="s">
        <v>119</v>
      </c>
      <c r="F71" s="222">
        <f>$C$20/F35*F65</f>
        <v>240</v>
      </c>
      <c r="G71" s="222">
        <f>$C$20/G35*G64</f>
        <v>407.14285714285722</v>
      </c>
      <c r="H71" s="222">
        <f>$C$20/H35*H65</f>
        <v>240</v>
      </c>
      <c r="I71" s="222">
        <f>$C$20/I35*I65</f>
        <v>201.42857142857142</v>
      </c>
      <c r="J71" s="222">
        <f>$C$20/J35*J65</f>
        <v>0</v>
      </c>
      <c r="K71" s="222">
        <f>$C$20/K35*K65</f>
        <v>201.42857142857142</v>
      </c>
      <c r="L71" s="222">
        <f>$C$20/L35*L65</f>
        <v>47</v>
      </c>
    </row>
    <row r="72" spans="2:12" ht="15.6" x14ac:dyDescent="0.6">
      <c r="B72" s="28" t="s">
        <v>121</v>
      </c>
      <c r="C72" s="49"/>
      <c r="D72" s="67"/>
      <c r="E72" s="39" t="s">
        <v>119</v>
      </c>
      <c r="F72" s="176"/>
      <c r="G72" s="176"/>
      <c r="H72" s="176"/>
      <c r="I72" s="176"/>
      <c r="J72" s="176"/>
      <c r="K72" s="176"/>
      <c r="L72" s="176"/>
    </row>
    <row r="73" spans="2:12" ht="15.6" x14ac:dyDescent="0.6">
      <c r="B73" s="48"/>
      <c r="C73" s="29"/>
      <c r="D73" s="29"/>
      <c r="E73" s="30"/>
      <c r="F73" s="47"/>
      <c r="G73" s="47"/>
      <c r="H73" s="28"/>
      <c r="I73" s="47"/>
      <c r="J73" s="47"/>
      <c r="K73" s="47"/>
      <c r="L73" s="47"/>
    </row>
    <row r="74" spans="2:12" ht="19.5" customHeight="1" x14ac:dyDescent="0.6">
      <c r="B74" s="51" t="s">
        <v>14</v>
      </c>
      <c r="C74" s="52"/>
      <c r="D74" s="52"/>
      <c r="E74" s="56" t="s">
        <v>119</v>
      </c>
      <c r="F74" s="65">
        <f>F66+F72+F71</f>
        <v>2214.6943550955411</v>
      </c>
      <c r="G74" s="65">
        <f t="shared" ref="G74:L74" si="3">G66+G72+G71</f>
        <v>1795.2354650744437</v>
      </c>
      <c r="H74" s="65">
        <f t="shared" si="3"/>
        <v>1765.7878539941221</v>
      </c>
      <c r="I74" s="65">
        <f t="shared" si="3"/>
        <v>4716.2428577736109</v>
      </c>
      <c r="J74" s="65">
        <f t="shared" si="3"/>
        <v>0</v>
      </c>
      <c r="K74" s="65">
        <f t="shared" si="3"/>
        <v>1430.7396825396825</v>
      </c>
      <c r="L74" s="65">
        <f t="shared" si="3"/>
        <v>1179.6626984126983</v>
      </c>
    </row>
    <row r="75" spans="2:12" ht="10.5" customHeight="1" x14ac:dyDescent="0.55000000000000004">
      <c r="B75" s="23"/>
      <c r="E75" s="26"/>
      <c r="F75" s="62"/>
      <c r="G75" s="46"/>
      <c r="H75" s="28"/>
      <c r="I75" s="47"/>
      <c r="J75" s="47"/>
      <c r="K75" s="68"/>
      <c r="L75" s="68"/>
    </row>
    <row r="76" spans="2:12" ht="18.3" x14ac:dyDescent="0.7">
      <c r="B76" s="35" t="s">
        <v>16</v>
      </c>
      <c r="C76" s="69"/>
      <c r="D76" s="69"/>
      <c r="E76" s="70"/>
      <c r="F76" s="71" t="b">
        <f t="shared" ref="F76:L76" si="4">ISERROR(F68)</f>
        <v>0</v>
      </c>
      <c r="G76" s="71" t="b">
        <f t="shared" si="4"/>
        <v>0</v>
      </c>
      <c r="H76" s="72" t="b">
        <f t="shared" si="4"/>
        <v>0</v>
      </c>
      <c r="I76" s="71"/>
      <c r="J76" s="71"/>
      <c r="K76" s="71" t="b">
        <f t="shared" si="4"/>
        <v>0</v>
      </c>
      <c r="L76" s="71" t="b">
        <f t="shared" si="4"/>
        <v>0</v>
      </c>
    </row>
    <row r="77" spans="2:12" ht="14.4" x14ac:dyDescent="0.55000000000000004">
      <c r="B77" s="23" t="s">
        <v>1</v>
      </c>
      <c r="E77" s="26"/>
      <c r="F77" s="47"/>
      <c r="G77" s="46"/>
      <c r="H77" s="28"/>
      <c r="I77" s="47"/>
      <c r="J77" s="47"/>
      <c r="K77" s="68"/>
      <c r="L77" s="68"/>
    </row>
    <row r="78" spans="2:12" ht="15.6" x14ac:dyDescent="0.6">
      <c r="B78" s="28" t="s">
        <v>6</v>
      </c>
      <c r="C78" s="29"/>
      <c r="D78" s="29"/>
      <c r="E78" s="39" t="s">
        <v>117</v>
      </c>
      <c r="F78" s="65">
        <f>'Dane eksploatacja 4'!F21</f>
        <v>150</v>
      </c>
      <c r="G78" s="65">
        <f>'Dane eksploatacja 4'!G21</f>
        <v>0</v>
      </c>
      <c r="H78" s="65">
        <f>'Dane eksploatacja 4'!H21</f>
        <v>200</v>
      </c>
      <c r="I78" s="65">
        <f>'Dane eksploatacja 4'!I21</f>
        <v>0</v>
      </c>
      <c r="J78" s="65">
        <f>'Dane eksploatacja 4'!J21</f>
        <v>0</v>
      </c>
      <c r="K78" s="65">
        <f>'Dane eksploatacja 4'!K21</f>
        <v>0</v>
      </c>
      <c r="L78" s="65">
        <f>'Dane eksploatacja 4'!L21</f>
        <v>0</v>
      </c>
    </row>
    <row r="79" spans="2:12" ht="15.6" x14ac:dyDescent="0.6">
      <c r="B79" s="28" t="s">
        <v>7</v>
      </c>
      <c r="C79" s="29"/>
      <c r="D79" s="29"/>
      <c r="E79" s="39" t="s">
        <v>117</v>
      </c>
      <c r="F79" s="65"/>
      <c r="G79" s="65"/>
      <c r="H79" s="65"/>
      <c r="I79" s="65"/>
      <c r="J79" s="65"/>
      <c r="K79" s="65"/>
      <c r="L79" s="65"/>
    </row>
    <row r="80" spans="2:12" ht="15.6" x14ac:dyDescent="0.6">
      <c r="B80" s="28" t="s">
        <v>120</v>
      </c>
      <c r="C80" s="73"/>
      <c r="D80" s="29"/>
      <c r="E80" s="39" t="s">
        <v>117</v>
      </c>
      <c r="F80" s="65">
        <f>F53*F$30</f>
        <v>150</v>
      </c>
      <c r="G80" s="65">
        <f>G55*G$30</f>
        <v>675</v>
      </c>
      <c r="H80" s="65">
        <f>H53*H$30</f>
        <v>280</v>
      </c>
      <c r="I80" s="65">
        <f>I53*I$30</f>
        <v>82.5</v>
      </c>
      <c r="J80" s="65">
        <f>J55*J$30+J51*J$30</f>
        <v>879.63333333333333</v>
      </c>
      <c r="K80" s="65">
        <f>K55*K$30</f>
        <v>420</v>
      </c>
      <c r="L80" s="65">
        <f>L55*L$30</f>
        <v>420</v>
      </c>
    </row>
    <row r="81" spans="1:12" ht="15.6" x14ac:dyDescent="0.6">
      <c r="B81" s="28" t="s">
        <v>72</v>
      </c>
      <c r="C81" s="29"/>
      <c r="D81" s="29"/>
      <c r="E81" s="39" t="s">
        <v>117</v>
      </c>
      <c r="F81" s="65">
        <f>'Dane eksploatacja 4'!F22</f>
        <v>0</v>
      </c>
      <c r="G81" s="65">
        <f>'Dane eksploatacja 4'!G22</f>
        <v>0</v>
      </c>
      <c r="H81" s="65">
        <f>'Dane eksploatacja 4'!H22</f>
        <v>0</v>
      </c>
      <c r="I81" s="65">
        <f>'Dane eksploatacja 4'!I22</f>
        <v>0</v>
      </c>
      <c r="J81" s="65"/>
      <c r="K81" s="65">
        <f>'Dane eksploatacja 4'!K22</f>
        <v>0</v>
      </c>
      <c r="L81" s="65">
        <f>'Dane eksploatacja 4'!L22</f>
        <v>0</v>
      </c>
    </row>
    <row r="82" spans="1:12" ht="15.6" x14ac:dyDescent="0.6">
      <c r="B82" s="48"/>
      <c r="C82" s="29"/>
      <c r="D82" s="29"/>
      <c r="E82" s="39"/>
      <c r="F82" s="44"/>
      <c r="G82" s="45"/>
      <c r="H82" s="43"/>
      <c r="I82" s="44"/>
      <c r="J82" s="44"/>
      <c r="K82" s="74"/>
      <c r="L82" s="74"/>
    </row>
    <row r="83" spans="1:12" s="18" customFormat="1" ht="22.5" customHeight="1" x14ac:dyDescent="0.6">
      <c r="B83" s="51" t="s">
        <v>17</v>
      </c>
      <c r="C83" s="52"/>
      <c r="D83" s="52"/>
      <c r="E83" s="56" t="s">
        <v>117</v>
      </c>
      <c r="F83" s="61">
        <f t="shared" ref="F83:L83" si="5">SUM(F78:F82)</f>
        <v>300</v>
      </c>
      <c r="G83" s="61">
        <f>SUM(G78:G82)</f>
        <v>675</v>
      </c>
      <c r="H83" s="61">
        <f t="shared" si="5"/>
        <v>480</v>
      </c>
      <c r="I83" s="61">
        <f t="shared" si="5"/>
        <v>82.5</v>
      </c>
      <c r="J83" s="61">
        <f t="shared" si="5"/>
        <v>879.63333333333333</v>
      </c>
      <c r="K83" s="61">
        <f t="shared" si="5"/>
        <v>420</v>
      </c>
      <c r="L83" s="61">
        <f t="shared" si="5"/>
        <v>420</v>
      </c>
    </row>
    <row r="84" spans="1:12" ht="14.4" x14ac:dyDescent="0.55000000000000004">
      <c r="B84" s="23"/>
      <c r="C84" s="4" t="s">
        <v>1</v>
      </c>
      <c r="E84" s="26"/>
      <c r="F84" s="62"/>
      <c r="G84" s="62"/>
      <c r="H84" s="63"/>
      <c r="I84" s="62"/>
      <c r="J84" s="62"/>
      <c r="K84" s="62"/>
      <c r="L84" s="62"/>
    </row>
    <row r="85" spans="1:12" ht="18.3" x14ac:dyDescent="0.7">
      <c r="B85" s="35" t="s">
        <v>8</v>
      </c>
      <c r="C85" s="7"/>
      <c r="E85" s="26"/>
      <c r="F85" s="47"/>
      <c r="G85" s="47"/>
      <c r="H85" s="28"/>
      <c r="I85" s="47"/>
      <c r="J85" s="47"/>
      <c r="K85" s="47"/>
      <c r="L85" s="47"/>
    </row>
    <row r="86" spans="1:12" ht="20.25" customHeight="1" x14ac:dyDescent="0.7">
      <c r="B86" s="35"/>
      <c r="D86" s="307" t="s">
        <v>29</v>
      </c>
      <c r="E86" s="26"/>
      <c r="F86" s="36"/>
      <c r="G86" s="36"/>
      <c r="H86" s="75"/>
      <c r="I86" s="36"/>
      <c r="J86" s="36"/>
      <c r="K86" s="36"/>
      <c r="L86" s="36"/>
    </row>
    <row r="87" spans="1:12" ht="22.5" customHeight="1" x14ac:dyDescent="0.55000000000000004">
      <c r="B87" s="23" t="s">
        <v>1</v>
      </c>
      <c r="C87" s="76" t="s">
        <v>9</v>
      </c>
      <c r="D87" s="307"/>
      <c r="E87" s="26"/>
      <c r="F87" s="36"/>
      <c r="G87" s="36"/>
      <c r="H87" s="75"/>
      <c r="I87" s="36"/>
      <c r="J87" s="36"/>
      <c r="K87" s="36"/>
      <c r="L87" s="36"/>
    </row>
    <row r="88" spans="1:12" ht="15.6" x14ac:dyDescent="0.6">
      <c r="A88" s="29"/>
      <c r="B88" s="28" t="s">
        <v>18</v>
      </c>
      <c r="C88" s="79">
        <f>'Dane koszty inwestycyjne 3'!D14</f>
        <v>50</v>
      </c>
      <c r="D88" s="80">
        <f t="shared" ref="D88:D98" si="6">-PMT($C$21,C88,100)/100</f>
        <v>3.5966102161529484E-2</v>
      </c>
      <c r="E88" s="77" t="s">
        <v>117</v>
      </c>
      <c r="F88" s="78">
        <f t="shared" ref="F88:L98" si="7">F49*$D88</f>
        <v>0</v>
      </c>
      <c r="G88" s="78">
        <f t="shared" si="7"/>
        <v>0</v>
      </c>
      <c r="H88" s="78">
        <f t="shared" si="7"/>
        <v>575.45763458447175</v>
      </c>
      <c r="I88" s="78">
        <f t="shared" si="7"/>
        <v>0</v>
      </c>
      <c r="J88" s="78">
        <f t="shared" si="7"/>
        <v>0</v>
      </c>
      <c r="K88" s="78">
        <f t="shared" si="7"/>
        <v>0</v>
      </c>
      <c r="L88" s="78">
        <f t="shared" si="7"/>
        <v>0</v>
      </c>
    </row>
    <row r="89" spans="1:12" ht="15.6" x14ac:dyDescent="0.6">
      <c r="A89" s="29"/>
      <c r="B89" s="28" t="s">
        <v>122</v>
      </c>
      <c r="C89" s="79">
        <f>'Dane koszty inwestycyjne 3'!D15</f>
        <v>40</v>
      </c>
      <c r="D89" s="80">
        <f t="shared" si="6"/>
        <v>4.0510020807587449E-2</v>
      </c>
      <c r="E89" s="77" t="s">
        <v>117</v>
      </c>
      <c r="F89" s="78">
        <f t="shared" si="7"/>
        <v>0</v>
      </c>
      <c r="G89" s="78">
        <f t="shared" si="7"/>
        <v>0</v>
      </c>
      <c r="H89" s="78">
        <f t="shared" si="7"/>
        <v>0</v>
      </c>
      <c r="I89" s="78">
        <f t="shared" si="7"/>
        <v>0</v>
      </c>
      <c r="J89" s="78">
        <f t="shared" si="7"/>
        <v>0</v>
      </c>
      <c r="K89" s="78">
        <f t="shared" si="7"/>
        <v>0</v>
      </c>
      <c r="L89" s="78">
        <f t="shared" si="7"/>
        <v>0</v>
      </c>
    </row>
    <row r="90" spans="1:12" ht="15.6" x14ac:dyDescent="0.6">
      <c r="A90" s="29"/>
      <c r="B90" s="28" t="s">
        <v>104</v>
      </c>
      <c r="C90" s="79">
        <f>'Dane koszty inwestycyjne 3'!D16</f>
        <v>20</v>
      </c>
      <c r="D90" s="80">
        <f t="shared" si="6"/>
        <v>6.4754633504718634E-2</v>
      </c>
      <c r="E90" s="77" t="s">
        <v>117</v>
      </c>
      <c r="F90" s="78">
        <f t="shared" si="7"/>
        <v>388.52780102831179</v>
      </c>
      <c r="G90" s="78">
        <f t="shared" si="7"/>
        <v>0</v>
      </c>
      <c r="H90" s="78">
        <f t="shared" si="7"/>
        <v>388.52780102831179</v>
      </c>
      <c r="I90" s="78">
        <f t="shared" si="7"/>
        <v>388.52780102831179</v>
      </c>
      <c r="J90" s="78">
        <f t="shared" si="7"/>
        <v>1034.8869677945784</v>
      </c>
      <c r="K90" s="78">
        <f t="shared" si="7"/>
        <v>0</v>
      </c>
      <c r="L90" s="78">
        <f t="shared" si="7"/>
        <v>194.26390051415589</v>
      </c>
    </row>
    <row r="91" spans="1:12" ht="15.6" x14ac:dyDescent="0.6">
      <c r="A91" s="29"/>
      <c r="B91" s="28" t="s">
        <v>48</v>
      </c>
      <c r="C91" s="79">
        <f>'Dane koszty inwestycyjne 3'!D17</f>
        <v>20</v>
      </c>
      <c r="D91" s="80">
        <f t="shared" si="6"/>
        <v>6.4754633504718634E-2</v>
      </c>
      <c r="E91" s="77" t="s">
        <v>117</v>
      </c>
      <c r="F91" s="78">
        <f t="shared" si="7"/>
        <v>194.26390051415589</v>
      </c>
      <c r="G91" s="78">
        <f t="shared" si="7"/>
        <v>0</v>
      </c>
      <c r="H91" s="78">
        <f t="shared" si="7"/>
        <v>259.01853401887456</v>
      </c>
      <c r="I91" s="78">
        <f t="shared" si="7"/>
        <v>0</v>
      </c>
      <c r="J91" s="78">
        <f t="shared" si="7"/>
        <v>0</v>
      </c>
      <c r="K91" s="78">
        <f t="shared" si="7"/>
        <v>0</v>
      </c>
      <c r="L91" s="78">
        <f t="shared" si="7"/>
        <v>0</v>
      </c>
    </row>
    <row r="92" spans="1:12" ht="15.6" x14ac:dyDescent="0.6">
      <c r="A92" s="29"/>
      <c r="B92" s="28" t="s">
        <v>19</v>
      </c>
      <c r="C92" s="79">
        <f>'Dane koszty inwestycyjne 3'!D18</f>
        <v>15</v>
      </c>
      <c r="D92" s="80">
        <f t="shared" si="6"/>
        <v>8.1361773827916956E-2</v>
      </c>
      <c r="E92" s="77" t="s">
        <v>117</v>
      </c>
      <c r="F92" s="78">
        <f t="shared" si="7"/>
        <v>813.61773827916954</v>
      </c>
      <c r="G92" s="78">
        <f t="shared" si="7"/>
        <v>0</v>
      </c>
      <c r="H92" s="78">
        <f t="shared" si="7"/>
        <v>1139.0648335908375</v>
      </c>
      <c r="I92" s="78">
        <f t="shared" si="7"/>
        <v>447.48975605354326</v>
      </c>
      <c r="J92" s="78">
        <f t="shared" si="7"/>
        <v>0</v>
      </c>
      <c r="K92" s="78">
        <f t="shared" si="7"/>
        <v>0</v>
      </c>
      <c r="L92" s="78">
        <f t="shared" si="7"/>
        <v>0</v>
      </c>
    </row>
    <row r="93" spans="1:12" ht="15.6" x14ac:dyDescent="0.6">
      <c r="A93" s="29"/>
      <c r="B93" s="28" t="s">
        <v>31</v>
      </c>
      <c r="C93" s="79">
        <f>'Dane koszty inwestycyjne 3'!D19</f>
        <v>50</v>
      </c>
      <c r="D93" s="80">
        <f t="shared" si="6"/>
        <v>3.5966102161529484E-2</v>
      </c>
      <c r="E93" s="77" t="s">
        <v>117</v>
      </c>
      <c r="F93" s="78">
        <f t="shared" si="7"/>
        <v>251.7627151307064</v>
      </c>
      <c r="G93" s="78">
        <f t="shared" si="7"/>
        <v>251.7627151307064</v>
      </c>
      <c r="H93" s="78">
        <f t="shared" si="7"/>
        <v>0</v>
      </c>
      <c r="I93" s="78">
        <f t="shared" si="7"/>
        <v>0</v>
      </c>
      <c r="J93" s="78">
        <f t="shared" si="7"/>
        <v>0</v>
      </c>
      <c r="K93" s="78">
        <f t="shared" si="7"/>
        <v>0</v>
      </c>
      <c r="L93" s="78">
        <f t="shared" si="7"/>
        <v>0</v>
      </c>
    </row>
    <row r="94" spans="1:12" ht="14.4" x14ac:dyDescent="0.55000000000000004">
      <c r="B94" s="28" t="s">
        <v>12</v>
      </c>
      <c r="C94" s="79">
        <f>'Dane koszty inwestycyjne 3'!D20</f>
        <v>20</v>
      </c>
      <c r="D94" s="80">
        <f t="shared" si="6"/>
        <v>6.4754633504718634E-2</v>
      </c>
      <c r="E94" s="77" t="s">
        <v>117</v>
      </c>
      <c r="F94" s="78">
        <f t="shared" si="7"/>
        <v>0</v>
      </c>
      <c r="G94" s="78">
        <f t="shared" si="7"/>
        <v>2913.9585077123384</v>
      </c>
      <c r="H94" s="78">
        <f t="shared" si="7"/>
        <v>0</v>
      </c>
      <c r="I94" s="78">
        <f t="shared" si="7"/>
        <v>0</v>
      </c>
      <c r="J94" s="78">
        <f t="shared" si="7"/>
        <v>1813.1297381321217</v>
      </c>
      <c r="K94" s="78">
        <f t="shared" si="7"/>
        <v>1813.1297381321217</v>
      </c>
      <c r="L94" s="78">
        <f t="shared" si="7"/>
        <v>1813.1297381321217</v>
      </c>
    </row>
    <row r="95" spans="1:12" ht="14.4" x14ac:dyDescent="0.55000000000000004">
      <c r="B95" s="28" t="s">
        <v>38</v>
      </c>
      <c r="C95" s="79">
        <f>'Dane koszty inwestycyjne 3'!D21</f>
        <v>50</v>
      </c>
      <c r="D95" s="80">
        <f t="shared" si="6"/>
        <v>3.5966102161529484E-2</v>
      </c>
      <c r="E95" s="77" t="s">
        <v>117</v>
      </c>
      <c r="F95" s="78">
        <f t="shared" si="7"/>
        <v>0</v>
      </c>
      <c r="G95" s="78">
        <f t="shared" si="7"/>
        <v>0</v>
      </c>
      <c r="H95" s="78">
        <f t="shared" si="7"/>
        <v>0</v>
      </c>
      <c r="I95" s="78">
        <f t="shared" si="7"/>
        <v>0</v>
      </c>
      <c r="J95" s="78">
        <f t="shared" si="7"/>
        <v>0</v>
      </c>
      <c r="K95" s="78">
        <f t="shared" si="7"/>
        <v>0</v>
      </c>
      <c r="L95" s="78">
        <f t="shared" si="7"/>
        <v>539.49153242294221</v>
      </c>
    </row>
    <row r="96" spans="1:12" ht="15.6" x14ac:dyDescent="0.6">
      <c r="A96" s="29"/>
      <c r="B96" s="28" t="s">
        <v>13</v>
      </c>
      <c r="C96" s="79">
        <f>'Dane koszty inwestycyjne 3'!D22</f>
        <v>20</v>
      </c>
      <c r="D96" s="80">
        <f t="shared" si="6"/>
        <v>6.4754633504718634E-2</v>
      </c>
      <c r="E96" s="77" t="s">
        <v>117</v>
      </c>
      <c r="F96" s="78">
        <f t="shared" si="7"/>
        <v>0</v>
      </c>
      <c r="G96" s="78">
        <f t="shared" si="7"/>
        <v>0</v>
      </c>
      <c r="H96" s="78">
        <f t="shared" si="7"/>
        <v>0</v>
      </c>
      <c r="I96" s="78">
        <f t="shared" si="7"/>
        <v>0</v>
      </c>
      <c r="J96" s="78">
        <f t="shared" si="7"/>
        <v>0</v>
      </c>
      <c r="K96" s="78">
        <f t="shared" si="7"/>
        <v>0</v>
      </c>
      <c r="L96" s="78">
        <f t="shared" si="7"/>
        <v>0</v>
      </c>
    </row>
    <row r="97" spans="1:12" ht="15.6" x14ac:dyDescent="0.6">
      <c r="A97" s="29"/>
      <c r="B97" s="28" t="s">
        <v>20</v>
      </c>
      <c r="C97" s="79">
        <f>'Dane koszty inwestycyjne 3'!D23</f>
        <v>40</v>
      </c>
      <c r="D97" s="80">
        <f t="shared" si="6"/>
        <v>4.0510020807587449E-2</v>
      </c>
      <c r="E97" s="77" t="s">
        <v>117</v>
      </c>
      <c r="F97" s="78">
        <f t="shared" si="7"/>
        <v>0</v>
      </c>
      <c r="G97" s="78">
        <f t="shared" si="7"/>
        <v>0</v>
      </c>
      <c r="H97" s="78">
        <f t="shared" si="7"/>
        <v>0</v>
      </c>
      <c r="I97" s="78">
        <f t="shared" si="7"/>
        <v>0</v>
      </c>
      <c r="J97" s="78">
        <f t="shared" si="7"/>
        <v>0</v>
      </c>
      <c r="K97" s="78">
        <f t="shared" si="7"/>
        <v>0</v>
      </c>
      <c r="L97" s="78">
        <f t="shared" si="7"/>
        <v>0</v>
      </c>
    </row>
    <row r="98" spans="1:12" ht="14.25" hidden="1" customHeight="1" x14ac:dyDescent="0.6">
      <c r="A98" s="29"/>
      <c r="B98" s="81" t="s">
        <v>49</v>
      </c>
      <c r="C98" s="82">
        <v>20</v>
      </c>
      <c r="D98" s="83">
        <f t="shared" si="6"/>
        <v>6.4754633504718634E-2</v>
      </c>
      <c r="E98" s="84"/>
      <c r="F98" s="78">
        <f t="shared" si="7"/>
        <v>-330.24863087406504</v>
      </c>
      <c r="G98" s="78">
        <f t="shared" si="7"/>
        <v>-874.18755231370153</v>
      </c>
      <c r="H98" s="78">
        <f t="shared" si="7"/>
        <v>-349.67502092548062</v>
      </c>
      <c r="I98" s="78">
        <f t="shared" si="7"/>
        <v>-106.84514528278575</v>
      </c>
      <c r="J98" s="78">
        <f t="shared" si="7"/>
        <v>-854.40501177800991</v>
      </c>
      <c r="K98" s="78">
        <f t="shared" si="7"/>
        <v>-543.93892143963649</v>
      </c>
      <c r="L98" s="78">
        <f t="shared" si="7"/>
        <v>-893.61394236511717</v>
      </c>
    </row>
    <row r="99" spans="1:12" ht="15.6" x14ac:dyDescent="0.6">
      <c r="B99" s="51" t="s">
        <v>10</v>
      </c>
      <c r="C99" s="85"/>
      <c r="D99" s="86"/>
      <c r="E99" s="56" t="s">
        <v>117</v>
      </c>
      <c r="F99" s="78">
        <f t="shared" ref="F99:L99" si="8">SUM(F88:F98)</f>
        <v>1317.9235240782787</v>
      </c>
      <c r="G99" s="78">
        <f t="shared" si="8"/>
        <v>2291.5336705293435</v>
      </c>
      <c r="H99" s="78">
        <f t="shared" si="8"/>
        <v>2012.3937822970147</v>
      </c>
      <c r="I99" s="78">
        <f t="shared" si="8"/>
        <v>729.17241179906932</v>
      </c>
      <c r="J99" s="78">
        <f t="shared" si="8"/>
        <v>1993.6116941486903</v>
      </c>
      <c r="K99" s="78">
        <f t="shared" si="8"/>
        <v>1269.1908166924852</v>
      </c>
      <c r="L99" s="78">
        <f t="shared" si="8"/>
        <v>1653.2712287041027</v>
      </c>
    </row>
    <row r="100" spans="1:12" ht="14.4" x14ac:dyDescent="0.55000000000000004">
      <c r="B100" s="23"/>
      <c r="D100" s="88"/>
      <c r="E100" s="26"/>
      <c r="F100" s="89"/>
      <c r="G100" s="89"/>
      <c r="H100" s="75"/>
      <c r="I100" s="36"/>
      <c r="J100" s="36"/>
      <c r="K100" s="90"/>
      <c r="L100" s="90"/>
    </row>
    <row r="101" spans="1:12" ht="18.3" x14ac:dyDescent="0.7">
      <c r="B101" s="35" t="s">
        <v>11</v>
      </c>
      <c r="C101" s="7"/>
      <c r="D101" s="88"/>
      <c r="E101" s="91" t="s">
        <v>119</v>
      </c>
      <c r="F101" s="87">
        <f t="shared" ref="F101:L101" si="9">F99+F83+F74</f>
        <v>3832.6178791738198</v>
      </c>
      <c r="G101" s="87">
        <f t="shared" si="9"/>
        <v>4761.7691356037867</v>
      </c>
      <c r="H101" s="87">
        <f t="shared" si="9"/>
        <v>4258.1816362911368</v>
      </c>
      <c r="I101" s="87">
        <f t="shared" si="9"/>
        <v>5527.9152695726807</v>
      </c>
      <c r="J101" s="87">
        <f t="shared" si="9"/>
        <v>2873.2450274820235</v>
      </c>
      <c r="K101" s="87">
        <f t="shared" si="9"/>
        <v>3119.9304992321677</v>
      </c>
      <c r="L101" s="87">
        <f t="shared" si="9"/>
        <v>3252.933927116801</v>
      </c>
    </row>
    <row r="102" spans="1:12" ht="18.3" x14ac:dyDescent="0.7">
      <c r="B102" s="35"/>
      <c r="C102" s="7"/>
      <c r="E102" s="26"/>
      <c r="F102" s="89"/>
      <c r="G102" s="89"/>
      <c r="H102" s="75"/>
      <c r="I102" s="36"/>
      <c r="J102" s="36"/>
      <c r="K102" s="90"/>
      <c r="L102" s="90"/>
    </row>
    <row r="103" spans="1:12" ht="18.3" x14ac:dyDescent="0.7">
      <c r="B103" s="92" t="s">
        <v>21</v>
      </c>
      <c r="C103" s="93"/>
      <c r="D103" s="94"/>
      <c r="E103" s="95" t="s">
        <v>119</v>
      </c>
      <c r="F103" s="96">
        <f t="shared" ref="F103:L103" si="10">F83+F74</f>
        <v>2514.6943550955411</v>
      </c>
      <c r="G103" s="96">
        <f t="shared" si="10"/>
        <v>2470.2354650744437</v>
      </c>
      <c r="H103" s="96">
        <f t="shared" si="10"/>
        <v>2245.7878539941221</v>
      </c>
      <c r="I103" s="96">
        <f t="shared" si="10"/>
        <v>4798.7428577736109</v>
      </c>
      <c r="J103" s="96">
        <f t="shared" si="10"/>
        <v>879.63333333333333</v>
      </c>
      <c r="K103" s="96">
        <f t="shared" si="10"/>
        <v>1850.7396825396825</v>
      </c>
      <c r="L103" s="96">
        <f t="shared" si="10"/>
        <v>1599.6626984126983</v>
      </c>
    </row>
    <row r="104" spans="1:12" ht="16.5" x14ac:dyDescent="0.55000000000000004">
      <c r="B104" s="97"/>
      <c r="F104" s="88"/>
      <c r="G104" s="88"/>
      <c r="H104" s="88"/>
      <c r="I104" s="88"/>
      <c r="J104" s="88"/>
      <c r="K104" s="88"/>
      <c r="L104" s="88"/>
    </row>
    <row r="105" spans="1:12" x14ac:dyDescent="0.5">
      <c r="F105" s="88"/>
      <c r="G105" s="88"/>
      <c r="H105" s="88"/>
      <c r="I105" s="88"/>
      <c r="J105" s="88"/>
      <c r="K105" s="88"/>
      <c r="L105" s="88"/>
    </row>
    <row r="106" spans="1:12" ht="20.399999999999999" hidden="1" x14ac:dyDescent="0.75">
      <c r="E106" s="98" t="s">
        <v>28</v>
      </c>
      <c r="F106" s="99">
        <f>L60-F60</f>
        <v>11300</v>
      </c>
      <c r="G106" s="99"/>
    </row>
    <row r="107" spans="1:12" ht="20.399999999999999" hidden="1" x14ac:dyDescent="0.75">
      <c r="E107" s="98" t="s">
        <v>27</v>
      </c>
      <c r="F107" s="99">
        <f>L103-F103</f>
        <v>-915.03165668284282</v>
      </c>
      <c r="G107" s="99"/>
      <c r="H107" s="88"/>
      <c r="I107" s="88"/>
      <c r="J107" s="88"/>
      <c r="K107" s="88"/>
      <c r="L107" s="88"/>
    </row>
    <row r="108" spans="1:12" ht="20.399999999999999" hidden="1" x14ac:dyDescent="0.75">
      <c r="E108" s="98" t="s">
        <v>25</v>
      </c>
      <c r="F108" s="100">
        <f>(L60-F60)/-(L103-F103)</f>
        <v>12.349299521466358</v>
      </c>
      <c r="G108" s="100"/>
      <c r="H108" s="88"/>
      <c r="I108" s="88"/>
      <c r="J108" s="88"/>
      <c r="K108" s="88"/>
      <c r="L108" s="88"/>
    </row>
    <row r="109" spans="1:12" ht="20.399999999999999" hidden="1" x14ac:dyDescent="0.75">
      <c r="E109" s="101" t="s">
        <v>26</v>
      </c>
      <c r="F109" s="102">
        <f>1/F108</f>
        <v>8.0976252803791407E-2</v>
      </c>
      <c r="G109" s="102"/>
      <c r="H109" s="88"/>
      <c r="I109" s="88"/>
      <c r="J109" s="88"/>
      <c r="K109" s="88"/>
      <c r="L109" s="88"/>
    </row>
    <row r="111" spans="1:12" x14ac:dyDescent="0.5">
      <c r="G111" s="103"/>
    </row>
    <row r="112" spans="1:12" x14ac:dyDescent="0.5">
      <c r="B112" s="126" t="s">
        <v>92</v>
      </c>
      <c r="C112"/>
      <c r="D112"/>
      <c r="E112"/>
      <c r="F112"/>
      <c r="G112"/>
      <c r="H112"/>
      <c r="I112"/>
    </row>
    <row r="113" spans="2:9" x14ac:dyDescent="0.5">
      <c r="B113" s="127" t="s">
        <v>66</v>
      </c>
      <c r="C113"/>
      <c r="D113"/>
      <c r="E113"/>
      <c r="F113"/>
      <c r="G113"/>
      <c r="H113"/>
      <c r="I113"/>
    </row>
    <row r="114" spans="2:9" x14ac:dyDescent="0.5">
      <c r="B114" s="280" t="s">
        <v>93</v>
      </c>
      <c r="C114" s="280"/>
      <c r="D114" s="280"/>
      <c r="E114" s="280"/>
      <c r="F114" s="280"/>
      <c r="G114" s="280"/>
      <c r="H114" s="280"/>
      <c r="I114" s="280"/>
    </row>
    <row r="115" spans="2:9" x14ac:dyDescent="0.5">
      <c r="B115" s="280"/>
      <c r="C115" s="280"/>
      <c r="D115" s="280"/>
      <c r="E115" s="280"/>
      <c r="F115" s="280"/>
      <c r="G115" s="280"/>
      <c r="H115" s="280"/>
      <c r="I115" s="280"/>
    </row>
    <row r="116" spans="2:9" ht="14.4" x14ac:dyDescent="0.55000000000000004">
      <c r="B116" s="104"/>
      <c r="C116" s="80"/>
      <c r="D116" s="80"/>
      <c r="E116" s="80"/>
      <c r="F116" s="80"/>
      <c r="G116" s="80"/>
      <c r="H116" s="80"/>
      <c r="I116" s="80"/>
    </row>
    <row r="117" spans="2:9" ht="14.4" x14ac:dyDescent="0.55000000000000004">
      <c r="B117" s="104"/>
      <c r="C117" s="80"/>
      <c r="D117" s="80"/>
      <c r="E117" s="80"/>
      <c r="F117" s="80"/>
      <c r="G117" s="80"/>
      <c r="H117" s="80"/>
      <c r="I117" s="80"/>
    </row>
    <row r="118" spans="2:9" ht="14.4" x14ac:dyDescent="0.55000000000000004">
      <c r="B118" s="104"/>
      <c r="C118" s="80"/>
      <c r="D118" s="80"/>
      <c r="E118" s="80"/>
      <c r="F118" s="80"/>
      <c r="G118" s="80"/>
      <c r="H118" s="80"/>
      <c r="I118" s="80"/>
    </row>
    <row r="119" spans="2:9" ht="14.4" x14ac:dyDescent="0.55000000000000004">
      <c r="B119" s="104"/>
      <c r="C119" s="80"/>
      <c r="D119" s="80"/>
      <c r="E119" s="80"/>
      <c r="F119" s="80"/>
      <c r="G119" s="80"/>
      <c r="H119" s="80"/>
      <c r="I119" s="80"/>
    </row>
    <row r="120" spans="2:9" ht="14.4" x14ac:dyDescent="0.55000000000000004">
      <c r="B120" s="104"/>
      <c r="C120" s="80"/>
      <c r="D120" s="80"/>
      <c r="E120" s="80"/>
      <c r="F120" s="80"/>
      <c r="G120" s="80"/>
      <c r="H120" s="80"/>
      <c r="I120" s="80"/>
    </row>
    <row r="121" spans="2:9" ht="14.4" x14ac:dyDescent="0.55000000000000004">
      <c r="B121" s="104"/>
      <c r="C121" s="80"/>
      <c r="D121" s="80"/>
      <c r="E121" s="80"/>
      <c r="F121" s="80"/>
      <c r="G121" s="80"/>
      <c r="H121" s="80"/>
      <c r="I121" s="80"/>
    </row>
    <row r="122" spans="2:9" ht="14.4" x14ac:dyDescent="0.55000000000000004">
      <c r="B122" s="104"/>
      <c r="C122" s="80"/>
      <c r="D122" s="80"/>
      <c r="E122" s="80"/>
      <c r="F122" s="80"/>
      <c r="G122" s="80"/>
      <c r="H122" s="80"/>
      <c r="I122" s="80"/>
    </row>
    <row r="123" spans="2:9" ht="14.4" x14ac:dyDescent="0.55000000000000004">
      <c r="B123" s="104"/>
      <c r="C123" s="80"/>
      <c r="D123" s="80"/>
      <c r="E123" s="80"/>
      <c r="F123" s="80"/>
      <c r="G123" s="80"/>
      <c r="H123" s="80"/>
      <c r="I123" s="80"/>
    </row>
    <row r="124" spans="2:9" ht="14.4" x14ac:dyDescent="0.55000000000000004">
      <c r="B124" s="104"/>
      <c r="C124" s="80"/>
      <c r="D124" s="80"/>
      <c r="E124" s="80"/>
      <c r="F124" s="80"/>
      <c r="G124" s="80"/>
      <c r="H124" s="80"/>
      <c r="I124" s="80"/>
    </row>
    <row r="125" spans="2:9" ht="14.4" x14ac:dyDescent="0.55000000000000004">
      <c r="B125" s="104"/>
      <c r="C125" s="80"/>
      <c r="D125" s="80"/>
      <c r="E125" s="80"/>
      <c r="F125" s="80"/>
      <c r="G125" s="80"/>
      <c r="H125" s="80"/>
      <c r="I125" s="80"/>
    </row>
    <row r="126" spans="2:9" ht="14.4" x14ac:dyDescent="0.55000000000000004">
      <c r="B126" s="104"/>
      <c r="C126" s="80"/>
      <c r="D126" s="80"/>
      <c r="E126" s="80"/>
      <c r="F126" s="80"/>
      <c r="G126" s="80"/>
      <c r="H126" s="80"/>
      <c r="I126" s="80"/>
    </row>
    <row r="127" spans="2:9" ht="14.4" x14ac:dyDescent="0.55000000000000004">
      <c r="B127" s="104"/>
      <c r="C127" s="80"/>
      <c r="D127" s="80"/>
      <c r="E127" s="80"/>
      <c r="F127" s="80"/>
      <c r="G127" s="80"/>
      <c r="H127" s="80"/>
      <c r="I127" s="80"/>
    </row>
    <row r="128" spans="2:9" ht="14.4" x14ac:dyDescent="0.55000000000000004">
      <c r="B128" s="104"/>
      <c r="C128" s="80"/>
      <c r="D128" s="80"/>
      <c r="E128" s="80"/>
      <c r="F128" s="80"/>
      <c r="G128" s="80"/>
      <c r="H128" s="80"/>
      <c r="I128" s="80"/>
    </row>
    <row r="129" spans="2:18" ht="14.4" x14ac:dyDescent="0.55000000000000004">
      <c r="B129" s="104"/>
      <c r="C129" s="80"/>
      <c r="D129" s="80"/>
      <c r="E129" s="80"/>
      <c r="F129" s="80"/>
      <c r="G129" s="80"/>
      <c r="H129" s="80"/>
      <c r="I129" s="80"/>
    </row>
    <row r="130" spans="2:18" ht="14.4" x14ac:dyDescent="0.55000000000000004">
      <c r="B130" s="104"/>
      <c r="C130" s="80"/>
      <c r="D130" s="80"/>
      <c r="E130" s="80"/>
      <c r="F130" s="80"/>
      <c r="G130" s="80"/>
      <c r="H130" s="80"/>
      <c r="I130" s="80"/>
    </row>
    <row r="131" spans="2:18" ht="14.4" x14ac:dyDescent="0.55000000000000004">
      <c r="B131" s="104"/>
      <c r="C131" s="80"/>
      <c r="D131" s="80"/>
      <c r="E131" s="80"/>
      <c r="F131" s="80"/>
      <c r="G131" s="80"/>
      <c r="H131" s="80"/>
      <c r="I131" s="80"/>
    </row>
    <row r="132" spans="2:18" ht="14.4" x14ac:dyDescent="0.55000000000000004">
      <c r="B132" s="104"/>
      <c r="C132" s="80"/>
      <c r="D132" s="80"/>
      <c r="E132" s="80"/>
      <c r="F132" s="80"/>
      <c r="G132" s="80"/>
      <c r="H132" s="80"/>
      <c r="I132" s="80"/>
    </row>
    <row r="133" spans="2:18" ht="14.4" x14ac:dyDescent="0.55000000000000004">
      <c r="B133" s="104"/>
      <c r="C133" s="80"/>
      <c r="D133" s="80"/>
      <c r="E133" s="80"/>
      <c r="F133" s="80"/>
      <c r="G133" s="80"/>
      <c r="H133" s="80"/>
      <c r="I133" s="80"/>
    </row>
    <row r="134" spans="2:18" ht="14.4" x14ac:dyDescent="0.55000000000000004">
      <c r="B134" s="104"/>
      <c r="C134" s="80"/>
      <c r="D134" s="80"/>
      <c r="E134" s="80"/>
      <c r="F134" s="80"/>
      <c r="G134" s="80"/>
      <c r="H134" s="80"/>
      <c r="I134" s="80"/>
    </row>
    <row r="135" spans="2:18" ht="14.4" x14ac:dyDescent="0.55000000000000004">
      <c r="B135" s="104"/>
      <c r="C135" s="80"/>
      <c r="D135" s="80"/>
      <c r="E135" s="80"/>
      <c r="F135" s="80"/>
      <c r="G135" s="80"/>
      <c r="H135" s="80"/>
      <c r="I135" s="80"/>
    </row>
    <row r="136" spans="2:18" ht="14.4" x14ac:dyDescent="0.55000000000000004">
      <c r="B136" s="104"/>
      <c r="C136" s="80"/>
      <c r="D136" s="80"/>
      <c r="E136" s="80"/>
      <c r="F136" s="80"/>
      <c r="G136" s="80"/>
      <c r="H136" s="80"/>
      <c r="I136" s="80"/>
    </row>
    <row r="137" spans="2:18" ht="14.4" x14ac:dyDescent="0.55000000000000004">
      <c r="B137" s="104"/>
      <c r="C137" s="80"/>
      <c r="D137" s="80"/>
      <c r="E137" s="80"/>
      <c r="F137" s="80"/>
      <c r="G137" s="80"/>
      <c r="H137" s="80"/>
      <c r="I137" s="80"/>
    </row>
    <row r="138" spans="2:18" ht="14.4" x14ac:dyDescent="0.55000000000000004">
      <c r="B138" s="104"/>
      <c r="C138" s="80"/>
      <c r="D138" s="80"/>
      <c r="E138" s="80"/>
      <c r="F138" s="80"/>
      <c r="G138" s="80"/>
      <c r="H138" s="80"/>
      <c r="I138" s="80"/>
      <c r="J138" s="88"/>
      <c r="K138" s="88"/>
      <c r="L138" s="88"/>
    </row>
    <row r="139" spans="2:18" ht="14.4" x14ac:dyDescent="0.55000000000000004">
      <c r="B139" s="104"/>
      <c r="C139" s="80"/>
      <c r="D139" s="80"/>
      <c r="E139" s="80"/>
      <c r="F139" s="80"/>
      <c r="G139" s="80"/>
      <c r="H139" s="80"/>
      <c r="I139" s="80"/>
      <c r="J139" s="88"/>
      <c r="K139" s="88"/>
      <c r="L139" s="88"/>
    </row>
    <row r="140" spans="2:18" ht="14.4" x14ac:dyDescent="0.55000000000000004">
      <c r="B140" s="104"/>
      <c r="C140" s="80"/>
      <c r="D140" s="80"/>
      <c r="E140" s="80"/>
      <c r="F140" s="80"/>
      <c r="G140" s="80"/>
      <c r="H140" s="80"/>
      <c r="I140" s="80"/>
      <c r="J140" s="88"/>
      <c r="K140" s="88"/>
      <c r="L140" s="88"/>
    </row>
    <row r="141" spans="2:18" ht="14.4" x14ac:dyDescent="0.55000000000000004">
      <c r="B141" s="104"/>
      <c r="C141" s="80"/>
      <c r="D141" s="80"/>
      <c r="E141" s="80"/>
      <c r="F141" s="80"/>
      <c r="G141" s="80"/>
      <c r="H141" s="80"/>
      <c r="I141" s="80"/>
      <c r="J141" s="105"/>
      <c r="K141" s="105"/>
      <c r="L141" s="88"/>
    </row>
    <row r="142" spans="2:18" ht="14.4" x14ac:dyDescent="0.55000000000000004">
      <c r="B142" s="104"/>
      <c r="C142" s="80"/>
      <c r="D142" s="80"/>
      <c r="E142" s="80"/>
      <c r="F142" s="80"/>
      <c r="G142" s="80"/>
      <c r="H142" s="80"/>
      <c r="I142" s="80"/>
      <c r="J142" s="88"/>
      <c r="K142" s="88"/>
      <c r="L142" s="88"/>
    </row>
    <row r="143" spans="2:18" ht="14.4" x14ac:dyDescent="0.55000000000000004">
      <c r="B143" s="104"/>
      <c r="C143" s="80"/>
      <c r="D143" s="80"/>
      <c r="E143" s="80"/>
      <c r="F143" s="80"/>
      <c r="G143" s="80"/>
      <c r="H143" s="80"/>
      <c r="I143" s="80"/>
      <c r="J143" s="88"/>
      <c r="K143" s="88"/>
      <c r="L143" s="88"/>
    </row>
    <row r="144" spans="2:18" s="107" customFormat="1" ht="14.4" x14ac:dyDescent="0.55000000000000004">
      <c r="B144" s="104"/>
      <c r="C144" s="80"/>
      <c r="D144" s="80"/>
      <c r="E144" s="80"/>
      <c r="F144" s="80"/>
      <c r="G144" s="80"/>
      <c r="H144" s="80"/>
      <c r="I144" s="80"/>
      <c r="J144" s="106"/>
      <c r="K144" s="106"/>
      <c r="L144" s="106"/>
      <c r="R144" s="4"/>
    </row>
    <row r="145" spans="2:18" s="107" customFormat="1" ht="14.4" x14ac:dyDescent="0.55000000000000004">
      <c r="B145" s="104"/>
      <c r="C145" s="80"/>
      <c r="D145" s="80"/>
      <c r="E145" s="80"/>
      <c r="F145" s="80"/>
      <c r="G145" s="80"/>
      <c r="H145" s="80"/>
      <c r="I145" s="80"/>
      <c r="J145" s="106"/>
      <c r="K145" s="106"/>
      <c r="L145" s="106"/>
      <c r="M145" s="106"/>
      <c r="R145" s="4"/>
    </row>
    <row r="146" spans="2:18" s="107" customFormat="1" ht="64.8" x14ac:dyDescent="0.55000000000000004">
      <c r="B146" s="104">
        <v>31</v>
      </c>
      <c r="C146" s="108">
        <f t="shared" ref="C146:I146" si="11">F60</f>
        <v>20900</v>
      </c>
      <c r="D146" s="109">
        <f t="shared" si="11"/>
        <v>38500</v>
      </c>
      <c r="E146" s="108">
        <f t="shared" si="11"/>
        <v>34600</v>
      </c>
      <c r="F146" s="110">
        <f t="shared" si="11"/>
        <v>9850</v>
      </c>
      <c r="G146" s="110">
        <f t="shared" si="11"/>
        <v>30787.166666666664</v>
      </c>
      <c r="H146" s="108">
        <f t="shared" si="11"/>
        <v>19600</v>
      </c>
      <c r="I146" s="108">
        <f t="shared" si="11"/>
        <v>32200</v>
      </c>
      <c r="J146" s="111" t="s">
        <v>54</v>
      </c>
      <c r="K146" s="111" t="s">
        <v>43</v>
      </c>
      <c r="L146" s="111" t="s">
        <v>47</v>
      </c>
      <c r="M146" s="111" t="s">
        <v>55</v>
      </c>
      <c r="N146" s="111" t="s">
        <v>60</v>
      </c>
      <c r="O146" s="111" t="s">
        <v>56</v>
      </c>
      <c r="P146" s="111"/>
      <c r="Q146" s="112"/>
      <c r="R146" s="4"/>
    </row>
    <row r="147" spans="2:18" s="107" customFormat="1" x14ac:dyDescent="0.5">
      <c r="B147" s="107">
        <v>1</v>
      </c>
      <c r="C147" s="113">
        <f>F$83+C146*(1+$C$21)^$B147+F$66*(1+$C$22)^$B147</f>
        <v>23757.588242197453</v>
      </c>
      <c r="D147" s="113">
        <f t="shared" ref="D147:D171" si="12">G$83+D146+G$66*(1+$C$22)^$B147</f>
        <v>40590.854460090217</v>
      </c>
      <c r="E147" s="113">
        <f t="shared" ref="E147:E171" si="13">H$83+E146+H$66*(1+$C$22)^$B147</f>
        <v>36636.303611074007</v>
      </c>
      <c r="F147" s="113">
        <f t="shared" ref="F147:F171" si="14">I$83+F146+I$66*(1+$C$22)^$B147</f>
        <v>14537.610572071941</v>
      </c>
      <c r="G147" s="113">
        <f t="shared" ref="G147:G171" si="15">J$83+G146+J$66*(1+$C$22)^$B147</f>
        <v>31666.799999999999</v>
      </c>
      <c r="H147" s="113">
        <f t="shared" ref="H147:H171" si="16">K$83+H146+K$66*(1+$C$22)^$B147</f>
        <v>21273.897333333334</v>
      </c>
      <c r="I147" s="113">
        <f t="shared" ref="I147:I171" si="17">L$83+I146+L$66*(1+$C$22)^$B147</f>
        <v>33775.315952380952</v>
      </c>
      <c r="J147" s="114">
        <f t="shared" ref="J147:J171" si="18">IF($I147&lt;C147,0,1)</f>
        <v>1</v>
      </c>
      <c r="K147" s="114">
        <f t="shared" ref="K147:K171" si="19">IF($I147&lt;D147,0,1)</f>
        <v>0</v>
      </c>
      <c r="L147" s="114">
        <f t="shared" ref="L147:L171" si="20">IF($I147&lt;E147,0,1)</f>
        <v>0</v>
      </c>
      <c r="M147" s="114">
        <f t="shared" ref="M147:M171" si="21">IF($I147&lt;G147,0,1)</f>
        <v>1</v>
      </c>
      <c r="N147" s="114">
        <f>IF($I147&lt;F147,0,1)</f>
        <v>1</v>
      </c>
      <c r="O147" s="114">
        <f t="shared" ref="O147:O171" si="22">IF($I147&lt;H147,0,1)</f>
        <v>1</v>
      </c>
      <c r="P147" s="106"/>
      <c r="Q147" s="107">
        <v>1</v>
      </c>
      <c r="R147" s="115">
        <f>I147-E147</f>
        <v>-2860.987658693055</v>
      </c>
    </row>
    <row r="148" spans="2:18" s="107" customFormat="1" x14ac:dyDescent="0.5">
      <c r="B148" s="107">
        <v>2</v>
      </c>
      <c r="C148" s="113">
        <f t="shared" ref="C148:C171" si="23">F$83+C147+F$66*(1+$C$22)^$B148</f>
        <v>26112.060249238853</v>
      </c>
      <c r="D148" s="113">
        <f t="shared" si="12"/>
        <v>42710.026009382236</v>
      </c>
      <c r="E148" s="113">
        <f t="shared" si="13"/>
        <v>38703.733294369493</v>
      </c>
      <c r="F148" s="113">
        <f t="shared" si="14"/>
        <v>19317.323355585318</v>
      </c>
      <c r="G148" s="113">
        <f t="shared" si="15"/>
        <v>32546.433333333334</v>
      </c>
      <c r="H148" s="113">
        <f t="shared" si="16"/>
        <v>22972.872613333333</v>
      </c>
      <c r="I148" s="113">
        <f t="shared" si="17"/>
        <v>35373.738223809523</v>
      </c>
      <c r="J148" s="114">
        <f t="shared" si="18"/>
        <v>1</v>
      </c>
      <c r="K148" s="114">
        <f t="shared" si="19"/>
        <v>0</v>
      </c>
      <c r="L148" s="114">
        <f t="shared" si="20"/>
        <v>0</v>
      </c>
      <c r="M148" s="114">
        <f t="shared" si="21"/>
        <v>1</v>
      </c>
      <c r="N148" s="114">
        <f t="shared" ref="N148:N171" si="24">IF($I148&lt;F148,0,1)</f>
        <v>1</v>
      </c>
      <c r="O148" s="114">
        <f>IF($I148&lt;H148,0,1)</f>
        <v>1</v>
      </c>
      <c r="P148" s="106"/>
      <c r="Q148" s="107">
        <v>2</v>
      </c>
      <c r="R148" s="115">
        <f t="shared" ref="R148:R166" si="25">I148-E148</f>
        <v>-3329.9950705599695</v>
      </c>
    </row>
    <row r="149" spans="2:18" s="107" customFormat="1" x14ac:dyDescent="0.5">
      <c r="B149" s="107">
        <v>3</v>
      </c>
      <c r="C149" s="113">
        <f t="shared" si="23"/>
        <v>28507.621696421083</v>
      </c>
      <c r="D149" s="113">
        <f t="shared" si="12"/>
        <v>44858.080989660099</v>
      </c>
      <c r="E149" s="113">
        <f t="shared" si="13"/>
        <v>40802.911571330886</v>
      </c>
      <c r="F149" s="113">
        <f t="shared" si="14"/>
        <v>24190.980394768965</v>
      </c>
      <c r="G149" s="113">
        <f t="shared" si="15"/>
        <v>33426.066666666666</v>
      </c>
      <c r="H149" s="113">
        <f t="shared" si="16"/>
        <v>24697.427398933334</v>
      </c>
      <c r="I149" s="113">
        <f t="shared" si="17"/>
        <v>36995.728940666668</v>
      </c>
      <c r="J149" s="114">
        <f t="shared" si="18"/>
        <v>1</v>
      </c>
      <c r="K149" s="114">
        <f t="shared" si="19"/>
        <v>0</v>
      </c>
      <c r="L149" s="114">
        <f t="shared" si="20"/>
        <v>0</v>
      </c>
      <c r="M149" s="114">
        <f t="shared" si="21"/>
        <v>1</v>
      </c>
      <c r="N149" s="114">
        <f t="shared" si="24"/>
        <v>1</v>
      </c>
      <c r="O149" s="114">
        <f t="shared" si="22"/>
        <v>1</v>
      </c>
      <c r="P149" s="106"/>
      <c r="Q149" s="107">
        <v>3</v>
      </c>
      <c r="R149" s="115">
        <f t="shared" si="25"/>
        <v>-3807.1826306642179</v>
      </c>
    </row>
    <row r="150" spans="2:18" s="107" customFormat="1" x14ac:dyDescent="0.5">
      <c r="B150" s="107">
        <v>4</v>
      </c>
      <c r="C150" s="113">
        <f t="shared" si="23"/>
        <v>30945.094372546955</v>
      </c>
      <c r="D150" s="113">
        <f t="shared" si="12"/>
        <v>47035.597069543517</v>
      </c>
      <c r="E150" s="113">
        <f t="shared" si="13"/>
        <v>42934.473413831511</v>
      </c>
      <c r="F150" s="113">
        <f t="shared" si="14"/>
        <v>29160.460574736284</v>
      </c>
      <c r="G150" s="113">
        <f t="shared" si="15"/>
        <v>34305.699999999997</v>
      </c>
      <c r="H150" s="113">
        <f t="shared" si="16"/>
        <v>26448.073280245335</v>
      </c>
      <c r="I150" s="113">
        <f t="shared" si="17"/>
        <v>38641.759471860954</v>
      </c>
      <c r="J150" s="114">
        <f t="shared" si="18"/>
        <v>1</v>
      </c>
      <c r="K150" s="114">
        <f t="shared" si="19"/>
        <v>0</v>
      </c>
      <c r="L150" s="114">
        <f t="shared" si="20"/>
        <v>0</v>
      </c>
      <c r="M150" s="114">
        <f t="shared" si="21"/>
        <v>1</v>
      </c>
      <c r="N150" s="114">
        <f t="shared" si="24"/>
        <v>1</v>
      </c>
      <c r="O150" s="114">
        <f t="shared" si="22"/>
        <v>1</v>
      </c>
      <c r="P150" s="106"/>
      <c r="Q150" s="107">
        <v>4</v>
      </c>
      <c r="R150" s="115">
        <f t="shared" si="25"/>
        <v>-4292.7139419705563</v>
      </c>
    </row>
    <row r="151" spans="2:18" s="107" customFormat="1" x14ac:dyDescent="0.5">
      <c r="B151" s="107">
        <v>5</v>
      </c>
      <c r="C151" s="113">
        <f t="shared" si="23"/>
        <v>33425.316502195346</v>
      </c>
      <c r="D151" s="113">
        <f t="shared" si="12"/>
        <v>49243.163471024607</v>
      </c>
      <c r="E151" s="113">
        <f t="shared" si="13"/>
        <v>45099.066493182145</v>
      </c>
      <c r="F151" s="113">
        <f t="shared" si="14"/>
        <v>34227.680358302947</v>
      </c>
      <c r="G151" s="113">
        <f t="shared" si="15"/>
        <v>35185.333333333328</v>
      </c>
      <c r="H151" s="113">
        <f t="shared" si="16"/>
        <v>28225.332079183576</v>
      </c>
      <c r="I151" s="113">
        <f t="shared" si="17"/>
        <v>40312.310613679125</v>
      </c>
      <c r="J151" s="114">
        <f t="shared" si="18"/>
        <v>1</v>
      </c>
      <c r="K151" s="114">
        <f t="shared" si="19"/>
        <v>0</v>
      </c>
      <c r="L151" s="114">
        <f t="shared" si="20"/>
        <v>0</v>
      </c>
      <c r="M151" s="114">
        <f t="shared" si="21"/>
        <v>1</v>
      </c>
      <c r="N151" s="114">
        <f t="shared" si="24"/>
        <v>1</v>
      </c>
      <c r="O151" s="114">
        <f t="shared" si="22"/>
        <v>1</v>
      </c>
      <c r="P151" s="106"/>
      <c r="Q151" s="107">
        <v>5</v>
      </c>
      <c r="R151" s="115">
        <f t="shared" si="25"/>
        <v>-4786.75587950302</v>
      </c>
    </row>
    <row r="152" spans="2:18" s="107" customFormat="1" x14ac:dyDescent="0.5">
      <c r="B152" s="107">
        <v>6</v>
      </c>
      <c r="C152" s="113">
        <f t="shared" si="23"/>
        <v>35949.143074436703</v>
      </c>
      <c r="D152" s="113">
        <f t="shared" si="12"/>
        <v>51481.381200535317</v>
      </c>
      <c r="E152" s="113">
        <f t="shared" si="13"/>
        <v>47297.351434119795</v>
      </c>
      <c r="F152" s="113">
        <f t="shared" si="14"/>
        <v>39394.59453754095</v>
      </c>
      <c r="G152" s="113">
        <f t="shared" si="15"/>
        <v>36064.96666666666</v>
      </c>
      <c r="H152" s="113">
        <f t="shared" si="16"/>
        <v>30029.73605410058</v>
      </c>
      <c r="I152" s="113">
        <f t="shared" si="17"/>
        <v>42007.872778333658</v>
      </c>
      <c r="J152" s="114">
        <f t="shared" si="18"/>
        <v>1</v>
      </c>
      <c r="K152" s="114">
        <f t="shared" si="19"/>
        <v>0</v>
      </c>
      <c r="L152" s="114">
        <f t="shared" si="20"/>
        <v>0</v>
      </c>
      <c r="M152" s="114">
        <f t="shared" si="21"/>
        <v>1</v>
      </c>
      <c r="N152" s="114">
        <f t="shared" si="24"/>
        <v>1</v>
      </c>
      <c r="O152" s="114">
        <f t="shared" si="22"/>
        <v>1</v>
      </c>
      <c r="P152" s="106"/>
      <c r="Q152" s="107">
        <v>6</v>
      </c>
      <c r="R152" s="115">
        <f t="shared" si="25"/>
        <v>-5289.4786557861371</v>
      </c>
    </row>
    <row r="153" spans="2:18" s="107" customFormat="1" x14ac:dyDescent="0.5">
      <c r="B153" s="107">
        <v>7</v>
      </c>
      <c r="C153" s="113">
        <f t="shared" si="23"/>
        <v>38517.446178122889</v>
      </c>
      <c r="D153" s="113">
        <f t="shared" si="12"/>
        <v>53750.863284636245</v>
      </c>
      <c r="E153" s="113">
        <f t="shared" si="13"/>
        <v>49530.002073876196</v>
      </c>
      <c r="F153" s="113">
        <f t="shared" si="14"/>
        <v>44663.197000363711</v>
      </c>
      <c r="G153" s="113">
        <f t="shared" si="15"/>
        <v>36944.599999999991</v>
      </c>
      <c r="H153" s="113">
        <f t="shared" si="16"/>
        <v>31861.828108515925</v>
      </c>
      <c r="I153" s="113">
        <f t="shared" si="17"/>
        <v>43728.946186281282</v>
      </c>
      <c r="J153" s="114">
        <f t="shared" si="18"/>
        <v>1</v>
      </c>
      <c r="K153" s="114">
        <f t="shared" si="19"/>
        <v>0</v>
      </c>
      <c r="L153" s="114">
        <f t="shared" si="20"/>
        <v>0</v>
      </c>
      <c r="M153" s="114">
        <f t="shared" si="21"/>
        <v>1</v>
      </c>
      <c r="N153" s="114">
        <f t="shared" si="24"/>
        <v>0</v>
      </c>
      <c r="O153" s="114">
        <f t="shared" si="22"/>
        <v>1</v>
      </c>
      <c r="P153" s="106"/>
      <c r="Q153" s="107">
        <v>7</v>
      </c>
      <c r="R153" s="115">
        <f t="shared" si="25"/>
        <v>-5801.0558875949137</v>
      </c>
    </row>
    <row r="154" spans="2:18" s="107" customFormat="1" x14ac:dyDescent="0.5">
      <c r="B154" s="107">
        <v>8</v>
      </c>
      <c r="C154" s="113">
        <f t="shared" si="23"/>
        <v>41131.115343882797</v>
      </c>
      <c r="D154" s="113">
        <f t="shared" si="12"/>
        <v>56052.235010419186</v>
      </c>
      <c r="E154" s="113">
        <f t="shared" si="13"/>
        <v>51797.705726427725</v>
      </c>
      <c r="F154" s="113">
        <f t="shared" si="14"/>
        <v>50035.521512442923</v>
      </c>
      <c r="G154" s="113">
        <f t="shared" si="15"/>
        <v>37824.233333333323</v>
      </c>
      <c r="H154" s="113">
        <f t="shared" si="16"/>
        <v>33722.162004019578</v>
      </c>
      <c r="I154" s="113">
        <f t="shared" si="17"/>
        <v>45476.041062387863</v>
      </c>
      <c r="J154" s="114">
        <f t="shared" si="18"/>
        <v>1</v>
      </c>
      <c r="K154" s="114">
        <f t="shared" si="19"/>
        <v>0</v>
      </c>
      <c r="L154" s="114">
        <f t="shared" si="20"/>
        <v>0</v>
      </c>
      <c r="M154" s="114">
        <f t="shared" si="21"/>
        <v>1</v>
      </c>
      <c r="N154" s="114">
        <f t="shared" si="24"/>
        <v>0</v>
      </c>
      <c r="O154" s="114">
        <f t="shared" si="22"/>
        <v>1</v>
      </c>
      <c r="P154" s="106"/>
      <c r="Q154" s="107">
        <v>8</v>
      </c>
      <c r="R154" s="115">
        <f t="shared" si="25"/>
        <v>-6321.6646640398612</v>
      </c>
    </row>
    <row r="155" spans="2:18" s="107" customFormat="1" x14ac:dyDescent="0.5">
      <c r="B155" s="107">
        <v>9</v>
      </c>
      <c r="C155" s="113">
        <f t="shared" si="23"/>
        <v>43791.057892957906</v>
      </c>
      <c r="D155" s="113">
        <f t="shared" si="12"/>
        <v>58386.134170717785</v>
      </c>
      <c r="E155" s="113">
        <f t="shared" si="13"/>
        <v>54101.163452030283</v>
      </c>
      <c r="F155" s="113">
        <f t="shared" si="14"/>
        <v>55513.64251476372</v>
      </c>
      <c r="G155" s="113">
        <f t="shared" si="15"/>
        <v>38703.866666666654</v>
      </c>
      <c r="H155" s="113">
        <f t="shared" si="16"/>
        <v>35611.3025774333</v>
      </c>
      <c r="I155" s="113">
        <f t="shared" si="17"/>
        <v>47249.67783601657</v>
      </c>
      <c r="J155" s="114">
        <f t="shared" si="18"/>
        <v>1</v>
      </c>
      <c r="K155" s="114">
        <f t="shared" si="19"/>
        <v>0</v>
      </c>
      <c r="L155" s="114">
        <f t="shared" si="20"/>
        <v>0</v>
      </c>
      <c r="M155" s="114">
        <f t="shared" si="21"/>
        <v>1</v>
      </c>
      <c r="N155" s="114">
        <f t="shared" si="24"/>
        <v>0</v>
      </c>
      <c r="O155" s="114">
        <f t="shared" si="22"/>
        <v>1</v>
      </c>
      <c r="P155" s="106"/>
      <c r="Q155" s="107">
        <v>9</v>
      </c>
      <c r="R155" s="115">
        <f t="shared" si="25"/>
        <v>-6851.4856160137133</v>
      </c>
    </row>
    <row r="156" spans="2:18" s="107" customFormat="1" x14ac:dyDescent="0.5">
      <c r="B156" s="107">
        <v>10</v>
      </c>
      <c r="C156" s="113">
        <f t="shared" si="23"/>
        <v>46498.199293014513</v>
      </c>
      <c r="D156" s="113">
        <f t="shared" si="12"/>
        <v>60753.211314222361</v>
      </c>
      <c r="E156" s="113">
        <f t="shared" si="13"/>
        <v>56441.090332144893</v>
      </c>
      <c r="F156" s="113">
        <f t="shared" si="14"/>
        <v>61099.675937130931</v>
      </c>
      <c r="G156" s="113">
        <f t="shared" si="15"/>
        <v>39583.499999999985</v>
      </c>
      <c r="H156" s="113">
        <f t="shared" si="16"/>
        <v>37529.825962315299</v>
      </c>
      <c r="I156" s="113">
        <f t="shared" si="17"/>
        <v>49050.387345117852</v>
      </c>
      <c r="J156" s="114">
        <f t="shared" si="18"/>
        <v>1</v>
      </c>
      <c r="K156" s="114">
        <f t="shared" si="19"/>
        <v>0</v>
      </c>
      <c r="L156" s="114">
        <f t="shared" si="20"/>
        <v>0</v>
      </c>
      <c r="M156" s="114">
        <f t="shared" si="21"/>
        <v>1</v>
      </c>
      <c r="N156" s="114">
        <f t="shared" si="24"/>
        <v>0</v>
      </c>
      <c r="O156" s="114">
        <f t="shared" si="22"/>
        <v>1</v>
      </c>
      <c r="P156" s="106"/>
      <c r="Q156" s="107">
        <v>10</v>
      </c>
      <c r="R156" s="115">
        <f t="shared" si="25"/>
        <v>-7390.7029870270417</v>
      </c>
    </row>
    <row r="157" spans="2:18" s="107" customFormat="1" x14ac:dyDescent="0.5">
      <c r="B157" s="107">
        <v>11</v>
      </c>
      <c r="C157" s="113">
        <f t="shared" si="23"/>
        <v>49253.483521072252</v>
      </c>
      <c r="D157" s="113">
        <f t="shared" si="12"/>
        <v>63154.130000597026</v>
      </c>
      <c r="E157" s="113">
        <f t="shared" si="13"/>
        <v>58818.215749861796</v>
      </c>
      <c r="F157" s="113">
        <f t="shared" si="14"/>
        <v>66795.780027945482</v>
      </c>
      <c r="G157" s="113">
        <f t="shared" si="15"/>
        <v>40463.133333333317</v>
      </c>
      <c r="H157" s="113">
        <f t="shared" si="16"/>
        <v>39478.319814894938</v>
      </c>
      <c r="I157" s="113">
        <f t="shared" si="17"/>
        <v>50878.711044401163</v>
      </c>
      <c r="J157" s="114">
        <f t="shared" si="18"/>
        <v>1</v>
      </c>
      <c r="K157" s="114">
        <f t="shared" si="19"/>
        <v>0</v>
      </c>
      <c r="L157" s="114">
        <f t="shared" si="20"/>
        <v>0</v>
      </c>
      <c r="M157" s="114">
        <f t="shared" si="21"/>
        <v>1</v>
      </c>
      <c r="N157" s="114">
        <f t="shared" si="24"/>
        <v>0</v>
      </c>
      <c r="O157" s="114">
        <f t="shared" si="22"/>
        <v>1</v>
      </c>
      <c r="P157" s="106"/>
      <c r="Q157" s="107">
        <v>11</v>
      </c>
      <c r="R157" s="115">
        <f t="shared" si="25"/>
        <v>-7939.504705460633</v>
      </c>
    </row>
    <row r="158" spans="2:18" s="107" customFormat="1" x14ac:dyDescent="0.5">
      <c r="B158" s="107">
        <v>12</v>
      </c>
      <c r="C158" s="113">
        <f t="shared" si="23"/>
        <v>52057.873433691151</v>
      </c>
      <c r="D158" s="113">
        <f t="shared" si="12"/>
        <v>65589.567060699192</v>
      </c>
      <c r="E158" s="113">
        <f t="shared" si="13"/>
        <v>61233.283675933038</v>
      </c>
      <c r="F158" s="113">
        <f t="shared" si="14"/>
        <v>72604.156200576326</v>
      </c>
      <c r="G158" s="113">
        <f t="shared" si="15"/>
        <v>41342.766666666648</v>
      </c>
      <c r="H158" s="113">
        <f t="shared" si="16"/>
        <v>41457.383544526172</v>
      </c>
      <c r="I158" s="113">
        <f t="shared" si="17"/>
        <v>52735.201217670139</v>
      </c>
      <c r="J158" s="114">
        <f t="shared" si="18"/>
        <v>1</v>
      </c>
      <c r="K158" s="114">
        <f t="shared" si="19"/>
        <v>0</v>
      </c>
      <c r="L158" s="114">
        <f t="shared" si="20"/>
        <v>0</v>
      </c>
      <c r="M158" s="114">
        <f t="shared" si="21"/>
        <v>1</v>
      </c>
      <c r="N158" s="114">
        <f t="shared" si="24"/>
        <v>0</v>
      </c>
      <c r="O158" s="114">
        <f t="shared" si="22"/>
        <v>1</v>
      </c>
      <c r="P158" s="106"/>
      <c r="Q158" s="107">
        <v>12</v>
      </c>
      <c r="R158" s="115">
        <f t="shared" si="25"/>
        <v>-8498.0824582628993</v>
      </c>
    </row>
    <row r="159" spans="2:18" s="107" customFormat="1" x14ac:dyDescent="0.5">
      <c r="B159" s="107">
        <v>13</v>
      </c>
      <c r="C159" s="113">
        <f t="shared" si="23"/>
        <v>54912.351144562424</v>
      </c>
      <c r="D159" s="113">
        <f t="shared" si="12"/>
        <v>68060.212862003391</v>
      </c>
      <c r="E159" s="113">
        <f t="shared" si="13"/>
        <v>63687.052960525703</v>
      </c>
      <c r="F159" s="113">
        <f t="shared" si="14"/>
        <v>78527.049896659795</v>
      </c>
      <c r="G159" s="113">
        <f t="shared" si="15"/>
        <v>42222.39999999998</v>
      </c>
      <c r="H159" s="113">
        <f t="shared" si="16"/>
        <v>43467.628548750028</v>
      </c>
      <c r="I159" s="113">
        <f t="shared" si="17"/>
        <v>54620.421194404495</v>
      </c>
      <c r="J159" s="114">
        <f t="shared" si="18"/>
        <v>0</v>
      </c>
      <c r="K159" s="114">
        <f t="shared" si="19"/>
        <v>0</v>
      </c>
      <c r="L159" s="114">
        <f t="shared" si="20"/>
        <v>0</v>
      </c>
      <c r="M159" s="114">
        <f t="shared" si="21"/>
        <v>1</v>
      </c>
      <c r="N159" s="114">
        <f t="shared" si="24"/>
        <v>0</v>
      </c>
      <c r="O159" s="114">
        <f t="shared" si="22"/>
        <v>1</v>
      </c>
      <c r="P159" s="106"/>
      <c r="Q159" s="107">
        <v>13</v>
      </c>
      <c r="R159" s="115">
        <f t="shared" si="25"/>
        <v>-9066.6317661212088</v>
      </c>
    </row>
    <row r="160" spans="2:18" s="107" customFormat="1" x14ac:dyDescent="0.5">
      <c r="B160" s="107">
        <v>14</v>
      </c>
      <c r="C160" s="113">
        <f t="shared" si="23"/>
        <v>57817.918409651124</v>
      </c>
      <c r="D160" s="113">
        <f t="shared" si="12"/>
        <v>70566.771579333683</v>
      </c>
      <c r="E160" s="113">
        <f t="shared" si="13"/>
        <v>66180.297630810222</v>
      </c>
      <c r="F160" s="113">
        <f t="shared" si="14"/>
        <v>84566.751466664937</v>
      </c>
      <c r="G160" s="113">
        <f t="shared" si="15"/>
        <v>43102.033333333311</v>
      </c>
      <c r="H160" s="113">
        <f t="shared" si="16"/>
        <v>45509.678453058361</v>
      </c>
      <c r="I160" s="113">
        <f t="shared" si="17"/>
        <v>56534.945570673539</v>
      </c>
      <c r="J160" s="114">
        <f t="shared" si="18"/>
        <v>0</v>
      </c>
      <c r="K160" s="114">
        <f t="shared" si="19"/>
        <v>0</v>
      </c>
      <c r="L160" s="114">
        <f t="shared" si="20"/>
        <v>0</v>
      </c>
      <c r="M160" s="114">
        <f t="shared" si="21"/>
        <v>1</v>
      </c>
      <c r="N160" s="114">
        <f t="shared" si="24"/>
        <v>0</v>
      </c>
      <c r="O160" s="114">
        <f t="shared" si="22"/>
        <v>1</v>
      </c>
      <c r="P160" s="106"/>
      <c r="Q160" s="107">
        <v>14</v>
      </c>
      <c r="R160" s="115">
        <f t="shared" si="25"/>
        <v>-9645.3520601366836</v>
      </c>
    </row>
    <row r="161" spans="2:18" s="107" customFormat="1" x14ac:dyDescent="0.5">
      <c r="B161" s="107">
        <v>15</v>
      </c>
      <c r="C161" s="113">
        <f t="shared" si="23"/>
        <v>60775.597020041598</v>
      </c>
      <c r="D161" s="113">
        <f t="shared" si="12"/>
        <v>73109.961471010567</v>
      </c>
      <c r="E161" s="113">
        <f t="shared" si="13"/>
        <v>68713.807194500434</v>
      </c>
      <c r="F161" s="113">
        <f t="shared" si="14"/>
        <v>90725.597068070172</v>
      </c>
      <c r="G161" s="113">
        <f t="shared" si="15"/>
        <v>43981.666666666642</v>
      </c>
      <c r="H161" s="113">
        <f t="shared" si="16"/>
        <v>47584.169355452861</v>
      </c>
      <c r="I161" s="113">
        <f t="shared" si="17"/>
        <v>58479.360434467962</v>
      </c>
      <c r="J161" s="114">
        <f t="shared" si="18"/>
        <v>0</v>
      </c>
      <c r="K161" s="114">
        <f t="shared" si="19"/>
        <v>0</v>
      </c>
      <c r="L161" s="114">
        <f t="shared" si="20"/>
        <v>0</v>
      </c>
      <c r="M161" s="114">
        <f t="shared" si="21"/>
        <v>1</v>
      </c>
      <c r="N161" s="114">
        <f t="shared" si="24"/>
        <v>0</v>
      </c>
      <c r="O161" s="114">
        <f t="shared" si="22"/>
        <v>1</v>
      </c>
      <c r="P161" s="106"/>
      <c r="Q161" s="107">
        <v>15</v>
      </c>
      <c r="R161" s="115">
        <f t="shared" si="25"/>
        <v>-10234.446760032472</v>
      </c>
    </row>
    <row r="162" spans="2:18" s="107" customFormat="1" x14ac:dyDescent="0.5">
      <c r="B162" s="107">
        <v>16</v>
      </c>
      <c r="C162" s="113">
        <f t="shared" si="23"/>
        <v>63786.429202639883</v>
      </c>
      <c r="D162" s="113">
        <f t="shared" si="12"/>
        <v>75690.515160520998</v>
      </c>
      <c r="E162" s="113">
        <f t="shared" si="13"/>
        <v>71288.386949464446</v>
      </c>
      <c r="F162" s="113">
        <f t="shared" si="14"/>
        <v>97005.969581503508</v>
      </c>
      <c r="G162" s="113">
        <f t="shared" si="15"/>
        <v>44861.299999999974</v>
      </c>
      <c r="H162" s="113">
        <f t="shared" si="16"/>
        <v>49691.750075895252</v>
      </c>
      <c r="I162" s="113">
        <f t="shared" si="17"/>
        <v>60454.263595538272</v>
      </c>
      <c r="J162" s="114">
        <f t="shared" si="18"/>
        <v>0</v>
      </c>
      <c r="K162" s="114">
        <f t="shared" si="19"/>
        <v>0</v>
      </c>
      <c r="L162" s="114">
        <f t="shared" si="20"/>
        <v>0</v>
      </c>
      <c r="M162" s="114">
        <f t="shared" si="21"/>
        <v>1</v>
      </c>
      <c r="N162" s="114">
        <f t="shared" si="24"/>
        <v>0</v>
      </c>
      <c r="O162" s="114">
        <f t="shared" si="22"/>
        <v>1</v>
      </c>
      <c r="P162" s="106"/>
      <c r="Q162" s="107">
        <v>16</v>
      </c>
      <c r="R162" s="115">
        <f t="shared" si="25"/>
        <v>-10834.123353926174</v>
      </c>
    </row>
    <row r="163" spans="2:18" s="107" customFormat="1" x14ac:dyDescent="0.5">
      <c r="B163" s="107">
        <v>17</v>
      </c>
      <c r="C163" s="113">
        <f t="shared" si="23"/>
        <v>66851.478028890138</v>
      </c>
      <c r="D163" s="113">
        <f t="shared" si="12"/>
        <v>78309.179923821634</v>
      </c>
      <c r="E163" s="113">
        <f t="shared" si="13"/>
        <v>73904.858299527739</v>
      </c>
      <c r="F163" s="113">
        <f t="shared" si="14"/>
        <v>103410.29954520552</v>
      </c>
      <c r="G163" s="113">
        <f t="shared" si="15"/>
        <v>45740.933333333305</v>
      </c>
      <c r="H163" s="113">
        <f t="shared" si="16"/>
        <v>51833.082410746487</v>
      </c>
      <c r="I163" s="113">
        <f t="shared" si="17"/>
        <v>62460.264819829987</v>
      </c>
      <c r="J163" s="114">
        <f t="shared" si="18"/>
        <v>0</v>
      </c>
      <c r="K163" s="114">
        <f t="shared" si="19"/>
        <v>0</v>
      </c>
      <c r="L163" s="114">
        <f t="shared" si="20"/>
        <v>0</v>
      </c>
      <c r="M163" s="114">
        <f t="shared" si="21"/>
        <v>1</v>
      </c>
      <c r="N163" s="114">
        <f t="shared" si="24"/>
        <v>0</v>
      </c>
      <c r="O163" s="114">
        <f t="shared" si="22"/>
        <v>1</v>
      </c>
      <c r="P163" s="106"/>
      <c r="Q163" s="107">
        <v>17</v>
      </c>
      <c r="R163" s="115">
        <f t="shared" si="25"/>
        <v>-11444.593479697753</v>
      </c>
    </row>
    <row r="164" spans="2:18" s="107" customFormat="1" x14ac:dyDescent="0.5">
      <c r="B164" s="107">
        <v>18</v>
      </c>
      <c r="C164" s="113">
        <f t="shared" si="23"/>
        <v>69971.827831665389</v>
      </c>
      <c r="D164" s="113">
        <f t="shared" si="12"/>
        <v>80966.717982388291</v>
      </c>
      <c r="E164" s="113">
        <f t="shared" si="13"/>
        <v>76564.059076592297</v>
      </c>
      <c r="F164" s="113">
        <f t="shared" si="14"/>
        <v>109941.06610818156</v>
      </c>
      <c r="G164" s="113">
        <f t="shared" si="15"/>
        <v>46620.566666666637</v>
      </c>
      <c r="H164" s="113">
        <f t="shared" si="16"/>
        <v>54008.841392294751</v>
      </c>
      <c r="I164" s="113">
        <f t="shared" si="17"/>
        <v>64497.986068607541</v>
      </c>
      <c r="J164" s="114">
        <f t="shared" si="18"/>
        <v>0</v>
      </c>
      <c r="K164" s="114">
        <f t="shared" si="19"/>
        <v>0</v>
      </c>
      <c r="L164" s="114">
        <f t="shared" si="20"/>
        <v>0</v>
      </c>
      <c r="M164" s="114">
        <f t="shared" si="21"/>
        <v>1</v>
      </c>
      <c r="N164" s="114">
        <f t="shared" si="24"/>
        <v>0</v>
      </c>
      <c r="O164" s="114">
        <f t="shared" si="22"/>
        <v>1</v>
      </c>
      <c r="P164" s="106"/>
      <c r="Q164" s="107">
        <v>18</v>
      </c>
      <c r="R164" s="115">
        <f t="shared" si="25"/>
        <v>-12066.073007984756</v>
      </c>
    </row>
    <row r="165" spans="2:18" s="107" customFormat="1" x14ac:dyDescent="0.5">
      <c r="B165" s="107">
        <v>19</v>
      </c>
      <c r="C165" s="113">
        <f t="shared" si="23"/>
        <v>73148.584630496145</v>
      </c>
      <c r="D165" s="113">
        <f t="shared" si="12"/>
        <v>83663.906802126279</v>
      </c>
      <c r="E165" s="113">
        <f t="shared" si="13"/>
        <v>79266.843869198143</v>
      </c>
      <c r="F165" s="113">
        <f t="shared" si="14"/>
        <v>116600.79800241714</v>
      </c>
      <c r="G165" s="113">
        <f t="shared" si="15"/>
        <v>47500.199999999968</v>
      </c>
      <c r="H165" s="113">
        <f t="shared" si="16"/>
        <v>56219.71555347398</v>
      </c>
      <c r="I165" s="113">
        <f t="shared" si="17"/>
        <v>66568.061742360645</v>
      </c>
      <c r="J165" s="114">
        <f t="shared" si="18"/>
        <v>0</v>
      </c>
      <c r="K165" s="114">
        <f t="shared" si="19"/>
        <v>0</v>
      </c>
      <c r="L165" s="114">
        <f t="shared" si="20"/>
        <v>0</v>
      </c>
      <c r="M165" s="114">
        <f t="shared" si="21"/>
        <v>1</v>
      </c>
      <c r="N165" s="114">
        <f t="shared" si="24"/>
        <v>0</v>
      </c>
      <c r="O165" s="114">
        <f t="shared" si="22"/>
        <v>1</v>
      </c>
      <c r="P165" s="106"/>
      <c r="Q165" s="107">
        <v>19</v>
      </c>
      <c r="R165" s="115">
        <f t="shared" si="25"/>
        <v>-12698.782126837497</v>
      </c>
    </row>
    <row r="166" spans="2:18" s="107" customFormat="1" x14ac:dyDescent="0.5">
      <c r="B166" s="107">
        <v>20</v>
      </c>
      <c r="C166" s="113">
        <f t="shared" si="23"/>
        <v>76382.876565303523</v>
      </c>
      <c r="D166" s="113">
        <f t="shared" si="12"/>
        <v>86401.539398259018</v>
      </c>
      <c r="E166" s="113">
        <f t="shared" si="13"/>
        <v>82014.084357656116</v>
      </c>
      <c r="F166" s="113">
        <f t="shared" si="14"/>
        <v>123392.07453453743</v>
      </c>
      <c r="G166" s="113">
        <f t="shared" si="15"/>
        <v>48379.833333333299</v>
      </c>
      <c r="H166" s="113">
        <f t="shared" si="16"/>
        <v>58466.40719787679</v>
      </c>
      <c r="I166" s="113">
        <f t="shared" si="17"/>
        <v>68671.138929588808</v>
      </c>
      <c r="J166" s="114">
        <f t="shared" si="18"/>
        <v>0</v>
      </c>
      <c r="K166" s="114">
        <f t="shared" si="19"/>
        <v>0</v>
      </c>
      <c r="L166" s="114">
        <f t="shared" si="20"/>
        <v>0</v>
      </c>
      <c r="M166" s="114">
        <f t="shared" si="21"/>
        <v>1</v>
      </c>
      <c r="N166" s="114">
        <f t="shared" si="24"/>
        <v>0</v>
      </c>
      <c r="O166" s="114">
        <f t="shared" si="22"/>
        <v>1</v>
      </c>
      <c r="P166" s="106"/>
      <c r="Q166" s="107">
        <v>20</v>
      </c>
      <c r="R166" s="115">
        <f t="shared" si="25"/>
        <v>-13342.945428067309</v>
      </c>
    </row>
    <row r="167" spans="2:18" s="107" customFormat="1" x14ac:dyDescent="0.5">
      <c r="B167" s="107">
        <v>21</v>
      </c>
      <c r="C167" s="113">
        <f t="shared" si="23"/>
        <v>79675.854338807039</v>
      </c>
      <c r="D167" s="113">
        <f t="shared" si="12"/>
        <v>89180.424646314423</v>
      </c>
      <c r="E167" s="113">
        <f t="shared" si="13"/>
        <v>84806.669655883248</v>
      </c>
      <c r="F167" s="113">
        <f t="shared" si="14"/>
        <v>130317.52659730012</v>
      </c>
      <c r="G167" s="113">
        <f t="shared" si="15"/>
        <v>49259.466666666631</v>
      </c>
      <c r="H167" s="113">
        <f t="shared" si="16"/>
        <v>60749.632675167661</v>
      </c>
      <c r="I167" s="113">
        <f t="shared" si="17"/>
        <v>70807.877660561542</v>
      </c>
      <c r="J167" s="114">
        <f t="shared" si="18"/>
        <v>0</v>
      </c>
      <c r="K167" s="114">
        <f t="shared" si="19"/>
        <v>0</v>
      </c>
      <c r="L167" s="114">
        <f t="shared" si="20"/>
        <v>0</v>
      </c>
      <c r="M167" s="114">
        <f t="shared" si="21"/>
        <v>1</v>
      </c>
      <c r="N167" s="114">
        <f t="shared" si="24"/>
        <v>0</v>
      </c>
      <c r="O167" s="114">
        <f t="shared" si="22"/>
        <v>1</v>
      </c>
      <c r="P167" s="106"/>
      <c r="R167" s="4"/>
    </row>
    <row r="168" spans="2:18" s="107" customFormat="1" x14ac:dyDescent="0.5">
      <c r="B168" s="107">
        <v>22</v>
      </c>
      <c r="C168" s="113">
        <f t="shared" si="23"/>
        <v>83028.691667780629</v>
      </c>
      <c r="D168" s="113">
        <f t="shared" si="12"/>
        <v>92001.387599330934</v>
      </c>
      <c r="E168" s="113">
        <f t="shared" si="13"/>
        <v>87645.506660074912</v>
      </c>
      <c r="F168" s="113">
        <f t="shared" si="14"/>
        <v>137379.83770131806</v>
      </c>
      <c r="G168" s="113">
        <f t="shared" si="15"/>
        <v>50139.099999999962</v>
      </c>
      <c r="H168" s="113">
        <f t="shared" si="16"/>
        <v>63070.122662004345</v>
      </c>
      <c r="I168" s="113">
        <f t="shared" si="17"/>
        <v>72978.951166153725</v>
      </c>
      <c r="J168" s="114">
        <f t="shared" si="18"/>
        <v>0</v>
      </c>
      <c r="K168" s="114">
        <f t="shared" si="19"/>
        <v>0</v>
      </c>
      <c r="L168" s="114">
        <f t="shared" si="20"/>
        <v>0</v>
      </c>
      <c r="M168" s="114">
        <f t="shared" si="21"/>
        <v>1</v>
      </c>
      <c r="N168" s="114">
        <f t="shared" si="24"/>
        <v>0</v>
      </c>
      <c r="O168" s="114">
        <f t="shared" si="22"/>
        <v>1</v>
      </c>
      <c r="P168" s="106"/>
      <c r="R168" s="4"/>
    </row>
    <row r="169" spans="2:18" s="107" customFormat="1" x14ac:dyDescent="0.5">
      <c r="B169" s="107">
        <v>23</v>
      </c>
      <c r="C169" s="113">
        <f t="shared" si="23"/>
        <v>86442.585743333693</v>
      </c>
      <c r="D169" s="113">
        <f t="shared" si="12"/>
        <v>94865.269811407765</v>
      </c>
      <c r="E169" s="113">
        <f t="shared" si="13"/>
        <v>90531.52040435042</v>
      </c>
      <c r="F169" s="113">
        <f t="shared" si="14"/>
        <v>144581.74502741636</v>
      </c>
      <c r="G169" s="113">
        <f t="shared" si="15"/>
        <v>51018.733333333294</v>
      </c>
      <c r="H169" s="113">
        <f t="shared" si="16"/>
        <v>65428.622448577764</v>
      </c>
      <c r="I169" s="113">
        <f t="shared" si="17"/>
        <v>75185.046141857747</v>
      </c>
      <c r="J169" s="114">
        <f t="shared" si="18"/>
        <v>0</v>
      </c>
      <c r="K169" s="114">
        <f t="shared" si="19"/>
        <v>0</v>
      </c>
      <c r="L169" s="114">
        <f t="shared" si="20"/>
        <v>0</v>
      </c>
      <c r="M169" s="114">
        <f t="shared" si="21"/>
        <v>1</v>
      </c>
      <c r="N169" s="114">
        <f t="shared" si="24"/>
        <v>0</v>
      </c>
      <c r="O169" s="114">
        <f t="shared" si="22"/>
        <v>1</v>
      </c>
      <c r="P169" s="106"/>
      <c r="R169" s="4"/>
    </row>
    <row r="170" spans="2:18" s="107" customFormat="1" x14ac:dyDescent="0.5">
      <c r="B170" s="107">
        <v>24</v>
      </c>
      <c r="C170" s="113">
        <f t="shared" si="23"/>
        <v>89918.757700397822</v>
      </c>
      <c r="D170" s="113">
        <f t="shared" si="12"/>
        <v>97772.929667726145</v>
      </c>
      <c r="E170" s="113">
        <f t="shared" si="13"/>
        <v>93465.654423511427</v>
      </c>
      <c r="F170" s="113">
        <f t="shared" si="14"/>
        <v>151926.04050003662</v>
      </c>
      <c r="G170" s="113">
        <f t="shared" si="15"/>
        <v>51898.366666666625</v>
      </c>
      <c r="H170" s="113">
        <f t="shared" si="16"/>
        <v>67825.892230882659</v>
      </c>
      <c r="I170" s="113">
        <f t="shared" si="17"/>
        <v>77426.863017075855</v>
      </c>
      <c r="J170" s="114">
        <f t="shared" si="18"/>
        <v>0</v>
      </c>
      <c r="K170" s="114">
        <f t="shared" si="19"/>
        <v>0</v>
      </c>
      <c r="L170" s="114">
        <f t="shared" si="20"/>
        <v>0</v>
      </c>
      <c r="M170" s="114">
        <f t="shared" si="21"/>
        <v>1</v>
      </c>
      <c r="N170" s="114">
        <f t="shared" si="24"/>
        <v>0</v>
      </c>
      <c r="O170" s="114">
        <f t="shared" si="22"/>
        <v>1</v>
      </c>
      <c r="P170" s="106"/>
      <c r="R170" s="4"/>
    </row>
    <row r="171" spans="2:18" s="107" customFormat="1" x14ac:dyDescent="0.5">
      <c r="B171" s="107">
        <v>25</v>
      </c>
      <c r="C171" s="113">
        <f t="shared" si="23"/>
        <v>93458.453096603233</v>
      </c>
      <c r="D171" s="113">
        <f t="shared" si="12"/>
        <v>100725.24272117089</v>
      </c>
      <c r="E171" s="113">
        <f t="shared" si="13"/>
        <v>96448.871123055666</v>
      </c>
      <c r="F171" s="113">
        <f t="shared" si="14"/>
        <v>159415.57188210927</v>
      </c>
      <c r="G171" s="113">
        <f t="shared" si="15"/>
        <v>52777.999999999956</v>
      </c>
      <c r="H171" s="113">
        <f t="shared" si="16"/>
        <v>70262.707408833638</v>
      </c>
      <c r="I171" s="113">
        <f t="shared" si="17"/>
        <v>79705.116229798325</v>
      </c>
      <c r="J171" s="106">
        <f t="shared" si="18"/>
        <v>0</v>
      </c>
      <c r="K171" s="106">
        <f t="shared" si="19"/>
        <v>0</v>
      </c>
      <c r="L171" s="106">
        <f t="shared" si="20"/>
        <v>0</v>
      </c>
      <c r="M171" s="106">
        <f t="shared" si="21"/>
        <v>1</v>
      </c>
      <c r="N171" s="114">
        <f t="shared" si="24"/>
        <v>0</v>
      </c>
      <c r="O171" s="106">
        <f t="shared" si="22"/>
        <v>1</v>
      </c>
      <c r="P171" s="106"/>
      <c r="R171" s="4"/>
    </row>
    <row r="172" spans="2:18" s="107" customFormat="1" x14ac:dyDescent="0.5">
      <c r="F172" s="106"/>
      <c r="P172" s="107">
        <f>SUM(P147:P171)</f>
        <v>0</v>
      </c>
      <c r="R172" s="4"/>
    </row>
    <row r="173" spans="2:18" s="107" customFormat="1" x14ac:dyDescent="0.5">
      <c r="F173" s="106"/>
      <c r="G173" s="106"/>
      <c r="H173" s="106"/>
      <c r="I173" s="106"/>
      <c r="J173" s="106"/>
      <c r="K173" s="106"/>
      <c r="L173" s="106"/>
      <c r="R173" s="4"/>
    </row>
    <row r="174" spans="2:18" s="107" customFormat="1" ht="64.5" x14ac:dyDescent="0.5">
      <c r="C174" s="111" t="s">
        <v>42</v>
      </c>
      <c r="D174" s="111" t="s">
        <v>43</v>
      </c>
      <c r="E174" s="111" t="s">
        <v>47</v>
      </c>
      <c r="F174" s="111" t="s">
        <v>61</v>
      </c>
      <c r="G174" s="111" t="s">
        <v>51</v>
      </c>
      <c r="H174" s="111" t="s">
        <v>56</v>
      </c>
      <c r="I174" s="116"/>
      <c r="J174" s="106"/>
      <c r="K174" s="106"/>
      <c r="L174" s="106"/>
    </row>
    <row r="175" spans="2:18" s="107" customFormat="1" x14ac:dyDescent="0.5">
      <c r="C175" s="117">
        <f>SUM(J147:J171)</f>
        <v>12</v>
      </c>
      <c r="D175" s="117">
        <f>SUM(K147:K171)</f>
        <v>0</v>
      </c>
      <c r="E175" s="117">
        <f>SUM(L147:L171)</f>
        <v>0</v>
      </c>
      <c r="F175" s="117">
        <f>SUM(N147:N171)</f>
        <v>6</v>
      </c>
      <c r="G175" s="117">
        <f>SUM(M147:M171)</f>
        <v>25</v>
      </c>
      <c r="H175" s="117">
        <f>SUM(O147:O171)</f>
        <v>25</v>
      </c>
      <c r="I175" s="116"/>
      <c r="J175" s="106"/>
      <c r="K175" s="106"/>
      <c r="L175" s="106"/>
    </row>
    <row r="176" spans="2:18" s="107" customFormat="1" x14ac:dyDescent="0.5">
      <c r="C176" s="114">
        <f t="shared" ref="C176:H176" si="26">IF(C175=0,1,C175)</f>
        <v>12</v>
      </c>
      <c r="D176" s="114">
        <f t="shared" si="26"/>
        <v>1</v>
      </c>
      <c r="E176" s="114">
        <f t="shared" si="26"/>
        <v>1</v>
      </c>
      <c r="F176" s="114">
        <f t="shared" si="26"/>
        <v>6</v>
      </c>
      <c r="G176" s="114">
        <f t="shared" si="26"/>
        <v>25</v>
      </c>
      <c r="H176" s="114">
        <f t="shared" si="26"/>
        <v>25</v>
      </c>
      <c r="I176" s="106"/>
      <c r="J176" s="106"/>
      <c r="K176" s="106"/>
      <c r="L176" s="106"/>
    </row>
    <row r="177" spans="2:17" s="107" customFormat="1" x14ac:dyDescent="0.5">
      <c r="C177" s="118">
        <f t="shared" ref="C177:H177" si="27">IF(C176=0,1,1/C176)</f>
        <v>8.3333333333333329E-2</v>
      </c>
      <c r="D177" s="118">
        <f t="shared" si="27"/>
        <v>1</v>
      </c>
      <c r="E177" s="118">
        <f t="shared" si="27"/>
        <v>1</v>
      </c>
      <c r="F177" s="118">
        <f t="shared" si="27"/>
        <v>0.16666666666666666</v>
      </c>
      <c r="G177" s="118">
        <f t="shared" si="27"/>
        <v>0.04</v>
      </c>
      <c r="H177" s="118">
        <f t="shared" si="27"/>
        <v>0.04</v>
      </c>
      <c r="I177" s="106"/>
      <c r="J177" s="106"/>
      <c r="K177" s="106"/>
      <c r="L177" s="106"/>
    </row>
    <row r="178" spans="2:17" x14ac:dyDescent="0.5">
      <c r="B178" s="107"/>
      <c r="C178" s="107"/>
      <c r="D178" s="107"/>
      <c r="E178" s="107"/>
      <c r="F178" s="106"/>
      <c r="G178" s="106"/>
      <c r="H178" s="106"/>
      <c r="I178" s="106"/>
      <c r="J178" s="106"/>
      <c r="K178" s="106"/>
      <c r="L178" s="106"/>
      <c r="M178" s="107"/>
      <c r="N178" s="107"/>
      <c r="O178" s="107"/>
      <c r="P178" s="107"/>
      <c r="Q178" s="107"/>
    </row>
    <row r="179" spans="2:17" x14ac:dyDescent="0.5">
      <c r="B179" s="107"/>
      <c r="C179" s="107"/>
      <c r="D179" s="107"/>
      <c r="E179" s="107"/>
      <c r="F179" s="106"/>
      <c r="G179" s="106"/>
      <c r="H179" s="106"/>
      <c r="I179" s="106"/>
      <c r="J179" s="106"/>
      <c r="K179" s="106"/>
      <c r="L179" s="106"/>
      <c r="M179" s="107"/>
      <c r="N179" s="107"/>
      <c r="O179" s="107"/>
      <c r="P179" s="107"/>
      <c r="Q179" s="107"/>
    </row>
    <row r="180" spans="2:17" x14ac:dyDescent="0.5">
      <c r="B180" s="107"/>
      <c r="C180" s="119"/>
      <c r="D180" s="107"/>
      <c r="E180" s="107"/>
      <c r="F180" s="106"/>
      <c r="G180" s="107"/>
      <c r="H180" s="106"/>
      <c r="I180" s="106"/>
      <c r="J180" s="106"/>
      <c r="K180" s="106"/>
      <c r="L180" s="106"/>
      <c r="M180" s="107"/>
      <c r="N180" s="107"/>
      <c r="O180" s="107"/>
      <c r="P180" s="107"/>
      <c r="Q180" s="107"/>
    </row>
    <row r="181" spans="2:17" x14ac:dyDescent="0.5">
      <c r="B181" s="107"/>
      <c r="C181" s="107"/>
      <c r="D181" s="107"/>
      <c r="E181" s="107"/>
      <c r="F181" s="106"/>
      <c r="G181" s="106"/>
      <c r="H181" s="106"/>
      <c r="I181" s="106"/>
      <c r="J181" s="106"/>
      <c r="K181" s="106"/>
      <c r="L181" s="106"/>
      <c r="M181" s="107"/>
      <c r="N181" s="107"/>
      <c r="O181" s="107"/>
      <c r="P181" s="107"/>
      <c r="Q181" s="107"/>
    </row>
    <row r="182" spans="2:17" x14ac:dyDescent="0.5">
      <c r="B182" s="107"/>
      <c r="C182" s="107"/>
      <c r="D182" s="107"/>
      <c r="E182" s="107"/>
      <c r="F182" s="106"/>
      <c r="G182" s="106"/>
      <c r="H182" s="106"/>
      <c r="I182" s="106"/>
      <c r="J182" s="106"/>
      <c r="K182" s="106"/>
      <c r="L182" s="106"/>
      <c r="M182" s="107"/>
      <c r="N182" s="107"/>
      <c r="O182" s="107"/>
      <c r="P182" s="107"/>
      <c r="Q182" s="107"/>
    </row>
    <row r="183" spans="2:17" x14ac:dyDescent="0.5">
      <c r="B183" s="107"/>
      <c r="C183" s="116" t="s">
        <v>42</v>
      </c>
      <c r="D183" s="116" t="s">
        <v>43</v>
      </c>
      <c r="E183" s="116" t="s">
        <v>47</v>
      </c>
      <c r="F183" s="116" t="s">
        <v>62</v>
      </c>
      <c r="G183" s="116" t="s">
        <v>51</v>
      </c>
      <c r="H183" s="116" t="s">
        <v>56</v>
      </c>
      <c r="I183" s="116" t="s">
        <v>57</v>
      </c>
      <c r="J183" s="106"/>
      <c r="K183" s="106"/>
      <c r="L183" s="106"/>
      <c r="M183" s="107"/>
      <c r="N183" s="107"/>
      <c r="O183" s="107"/>
      <c r="P183" s="107"/>
      <c r="Q183" s="107"/>
    </row>
    <row r="184" spans="2:17" x14ac:dyDescent="0.5">
      <c r="B184" s="107" t="s">
        <v>34</v>
      </c>
      <c r="C184" s="113" t="e">
        <f>F45*#REF!+F72/F65*#REF!</f>
        <v>#REF!</v>
      </c>
      <c r="D184" s="113" t="e">
        <f>G45*#REF!+G72/G65*#REF!</f>
        <v>#REF!</v>
      </c>
      <c r="E184" s="113" t="e">
        <f>H45*#REF!+H72/H65*#REF!</f>
        <v>#REF!</v>
      </c>
      <c r="F184" s="113" t="e">
        <f>I45*#REF!+I72/I65*#REF!</f>
        <v>#REF!</v>
      </c>
      <c r="G184" s="113" t="e">
        <f>J45*#REF!+J72/J65*#REF!</f>
        <v>#REF!</v>
      </c>
      <c r="H184" s="113" t="e">
        <f>K45*#REF!+K72/K65*#REF!</f>
        <v>#REF!</v>
      </c>
      <c r="I184" s="113" t="e">
        <f>L45*#REF!+L72*#REF!</f>
        <v>#REF!</v>
      </c>
      <c r="J184" s="106"/>
      <c r="K184" s="106"/>
      <c r="L184" s="106"/>
      <c r="M184" s="107"/>
      <c r="N184" s="107"/>
      <c r="O184" s="107"/>
      <c r="P184" s="107"/>
      <c r="Q184" s="107"/>
    </row>
    <row r="185" spans="2:17" x14ac:dyDescent="0.5">
      <c r="B185" s="107"/>
      <c r="C185" s="120" t="e">
        <f t="shared" ref="C185:I185" si="28">C184/$I$184</f>
        <v>#REF!</v>
      </c>
      <c r="D185" s="120" t="e">
        <f t="shared" si="28"/>
        <v>#REF!</v>
      </c>
      <c r="E185" s="120" t="e">
        <f t="shared" si="28"/>
        <v>#REF!</v>
      </c>
      <c r="F185" s="120" t="e">
        <f t="shared" si="28"/>
        <v>#REF!</v>
      </c>
      <c r="G185" s="120" t="e">
        <f t="shared" si="28"/>
        <v>#REF!</v>
      </c>
      <c r="H185" s="120" t="e">
        <f t="shared" si="28"/>
        <v>#REF!</v>
      </c>
      <c r="I185" s="120" t="e">
        <f t="shared" si="28"/>
        <v>#REF!</v>
      </c>
      <c r="J185" s="106"/>
      <c r="K185" s="106"/>
      <c r="L185" s="106"/>
      <c r="M185" s="107"/>
      <c r="N185" s="107"/>
      <c r="O185" s="107"/>
      <c r="P185" s="107"/>
      <c r="Q185" s="107"/>
    </row>
    <row r="186" spans="2:17" x14ac:dyDescent="0.5">
      <c r="B186" s="107"/>
      <c r="C186" s="107"/>
      <c r="D186" s="107"/>
      <c r="E186" s="107"/>
      <c r="F186" s="107"/>
      <c r="G186" s="107"/>
      <c r="H186" s="107"/>
      <c r="I186" s="107"/>
      <c r="J186" s="106"/>
      <c r="K186" s="106"/>
      <c r="L186" s="106"/>
      <c r="M186" s="107"/>
      <c r="N186" s="107"/>
      <c r="O186" s="107"/>
      <c r="P186" s="107"/>
      <c r="Q186" s="107"/>
    </row>
    <row r="187" spans="2:17" x14ac:dyDescent="0.5">
      <c r="B187" s="107"/>
      <c r="C187" s="107"/>
      <c r="D187" s="107"/>
      <c r="E187" s="107"/>
      <c r="F187" s="106"/>
      <c r="G187" s="106"/>
      <c r="H187" s="106"/>
      <c r="I187" s="106"/>
      <c r="J187" s="106"/>
      <c r="K187" s="106"/>
      <c r="L187" s="106"/>
      <c r="M187" s="107"/>
      <c r="N187" s="107"/>
      <c r="O187" s="107"/>
      <c r="P187" s="107"/>
      <c r="Q187" s="107"/>
    </row>
    <row r="188" spans="2:17" x14ac:dyDescent="0.5">
      <c r="B188" s="107"/>
      <c r="C188" s="107"/>
      <c r="D188" s="107"/>
      <c r="E188" s="107"/>
      <c r="F188" s="106"/>
      <c r="G188" s="106"/>
      <c r="H188" s="106"/>
      <c r="I188" s="106"/>
      <c r="J188" s="106"/>
      <c r="K188" s="106"/>
      <c r="L188" s="106"/>
      <c r="M188" s="107"/>
      <c r="N188" s="107"/>
      <c r="O188" s="107"/>
      <c r="P188" s="107"/>
      <c r="Q188" s="107"/>
    </row>
    <row r="189" spans="2:17" x14ac:dyDescent="0.5">
      <c r="B189" s="107"/>
      <c r="C189" s="116" t="s">
        <v>42</v>
      </c>
      <c r="D189" s="116" t="s">
        <v>43</v>
      </c>
      <c r="E189" s="116" t="s">
        <v>47</v>
      </c>
      <c r="F189" s="116" t="s">
        <v>62</v>
      </c>
      <c r="G189" s="116" t="s">
        <v>51</v>
      </c>
      <c r="H189" s="116" t="s">
        <v>56</v>
      </c>
      <c r="I189" s="116" t="s">
        <v>57</v>
      </c>
      <c r="J189" s="106"/>
      <c r="K189" s="106"/>
      <c r="L189" s="106"/>
      <c r="M189" s="107"/>
      <c r="N189" s="107"/>
      <c r="O189" s="107"/>
      <c r="P189" s="107"/>
      <c r="Q189" s="107"/>
    </row>
    <row r="190" spans="2:17" x14ac:dyDescent="0.5">
      <c r="B190" s="107" t="s">
        <v>35</v>
      </c>
      <c r="C190" s="113" t="e">
        <f>F45*#REF!+F72/F65*#REF!</f>
        <v>#REF!</v>
      </c>
      <c r="D190" s="113" t="e">
        <f>G45*#REF!+G72/G65*#REF!</f>
        <v>#REF!</v>
      </c>
      <c r="E190" s="113" t="e">
        <f>H45*#REF!+H72/H65*#REF!</f>
        <v>#REF!</v>
      </c>
      <c r="F190" s="113" t="e">
        <f>I45*#REF!+I72/I65*#REF!</f>
        <v>#REF!</v>
      </c>
      <c r="G190" s="113" t="e">
        <f>J45*#REF!+J72/J65*#REF!</f>
        <v>#REF!</v>
      </c>
      <c r="H190" s="113" t="e">
        <f>K45*#REF!+K72/K65*#REF!</f>
        <v>#REF!</v>
      </c>
      <c r="I190" s="113" t="e">
        <f>L45*#REF!+L72/L65*#REF!</f>
        <v>#REF!</v>
      </c>
      <c r="J190" s="106"/>
      <c r="K190" s="106"/>
      <c r="L190" s="106"/>
      <c r="M190" s="107"/>
      <c r="N190" s="107"/>
      <c r="O190" s="107"/>
      <c r="P190" s="107"/>
      <c r="Q190" s="107"/>
    </row>
    <row r="191" spans="2:17" x14ac:dyDescent="0.5">
      <c r="B191" s="107"/>
      <c r="C191" s="120" t="e">
        <f t="shared" ref="C191:I191" si="29">C190/$D$190</f>
        <v>#REF!</v>
      </c>
      <c r="D191" s="120" t="e">
        <f t="shared" si="29"/>
        <v>#REF!</v>
      </c>
      <c r="E191" s="120" t="e">
        <f t="shared" si="29"/>
        <v>#REF!</v>
      </c>
      <c r="F191" s="120" t="e">
        <f t="shared" si="29"/>
        <v>#REF!</v>
      </c>
      <c r="G191" s="120" t="e">
        <f t="shared" si="29"/>
        <v>#REF!</v>
      </c>
      <c r="H191" s="120" t="e">
        <f t="shared" si="29"/>
        <v>#REF!</v>
      </c>
      <c r="I191" s="120" t="e">
        <f t="shared" si="29"/>
        <v>#REF!</v>
      </c>
      <c r="J191" s="106"/>
      <c r="K191" s="106"/>
      <c r="L191" s="106"/>
      <c r="M191" s="107"/>
      <c r="N191" s="107"/>
      <c r="O191" s="107"/>
      <c r="P191" s="107"/>
      <c r="Q191" s="107"/>
    </row>
    <row r="192" spans="2:17" x14ac:dyDescent="0.5">
      <c r="B192" s="107"/>
      <c r="C192" s="107"/>
      <c r="D192" s="107"/>
      <c r="E192" s="107"/>
      <c r="F192" s="107"/>
      <c r="G192" s="107"/>
      <c r="H192" s="107"/>
      <c r="I192" s="107"/>
      <c r="J192" s="106"/>
      <c r="K192" s="106"/>
      <c r="L192" s="106"/>
      <c r="M192" s="107"/>
      <c r="N192" s="107"/>
      <c r="O192" s="107"/>
      <c r="P192" s="107"/>
      <c r="Q192" s="107"/>
    </row>
    <row r="193" spans="2:17" x14ac:dyDescent="0.5">
      <c r="B193" s="107"/>
      <c r="C193" s="107"/>
      <c r="D193" s="107"/>
      <c r="E193" s="107"/>
      <c r="F193" s="106"/>
      <c r="G193" s="106"/>
      <c r="H193" s="106"/>
      <c r="I193" s="106"/>
      <c r="J193" s="106"/>
      <c r="K193" s="106"/>
      <c r="L193" s="106"/>
      <c r="M193" s="107"/>
      <c r="N193" s="107"/>
      <c r="O193" s="107"/>
      <c r="P193" s="107"/>
      <c r="Q193" s="107"/>
    </row>
    <row r="194" spans="2:17" x14ac:dyDescent="0.5">
      <c r="B194" s="107"/>
      <c r="C194" s="107"/>
      <c r="D194" s="107"/>
      <c r="E194" s="107"/>
      <c r="F194" s="106"/>
      <c r="G194" s="106"/>
      <c r="H194" s="106"/>
      <c r="I194" s="106"/>
      <c r="J194" s="106"/>
      <c r="K194" s="106"/>
      <c r="L194" s="106"/>
      <c r="M194" s="107"/>
      <c r="N194" s="107"/>
      <c r="O194" s="107"/>
      <c r="P194" s="107"/>
      <c r="Q194" s="107"/>
    </row>
    <row r="195" spans="2:17" x14ac:dyDescent="0.5">
      <c r="B195" s="107"/>
      <c r="C195" s="116" t="s">
        <v>52</v>
      </c>
      <c r="D195" s="116" t="s">
        <v>43</v>
      </c>
      <c r="E195" s="116" t="s">
        <v>47</v>
      </c>
      <c r="F195" s="116" t="s">
        <v>62</v>
      </c>
      <c r="G195" s="116" t="s">
        <v>51</v>
      </c>
      <c r="H195" s="116" t="s">
        <v>56</v>
      </c>
      <c r="I195" s="116" t="s">
        <v>57</v>
      </c>
      <c r="J195" s="106"/>
      <c r="K195" s="106"/>
      <c r="L195" s="106"/>
      <c r="M195" s="107"/>
      <c r="N195" s="107"/>
      <c r="O195" s="107"/>
      <c r="P195" s="107"/>
      <c r="Q195" s="107"/>
    </row>
    <row r="196" spans="2:17" x14ac:dyDescent="0.5">
      <c r="B196" s="107" t="s">
        <v>44</v>
      </c>
      <c r="C196" s="121">
        <f>F36*F37</f>
        <v>0</v>
      </c>
      <c r="D196" s="121">
        <f>G38</f>
        <v>0</v>
      </c>
      <c r="E196" s="118">
        <v>0</v>
      </c>
      <c r="F196" s="118">
        <v>0.18</v>
      </c>
      <c r="G196" s="121">
        <f>J36*J37</f>
        <v>0</v>
      </c>
      <c r="H196" s="122">
        <f>(1-1/K41)</f>
        <v>0.71042839130301072</v>
      </c>
      <c r="I196" s="122">
        <f>(1-1/L41)</f>
        <v>0.73319450485240689</v>
      </c>
      <c r="J196" s="106"/>
      <c r="K196" s="106"/>
      <c r="L196" s="106"/>
      <c r="M196" s="107"/>
      <c r="N196" s="107"/>
      <c r="O196" s="107"/>
      <c r="P196" s="107"/>
      <c r="Q196" s="107"/>
    </row>
    <row r="197" spans="2:17" x14ac:dyDescent="0.5">
      <c r="B197" s="107"/>
      <c r="C197" s="113">
        <f>C196*$C$19</f>
        <v>0</v>
      </c>
      <c r="D197" s="113">
        <f t="shared" ref="D197:I197" si="30">D196*$C$19</f>
        <v>0</v>
      </c>
      <c r="E197" s="113">
        <f t="shared" si="30"/>
        <v>0</v>
      </c>
      <c r="F197" s="113">
        <f t="shared" si="30"/>
        <v>1625.85</v>
      </c>
      <c r="G197" s="113">
        <f t="shared" si="30"/>
        <v>0</v>
      </c>
      <c r="H197" s="113">
        <f t="shared" si="30"/>
        <v>6416.9444444444443</v>
      </c>
      <c r="I197" s="113">
        <f t="shared" si="30"/>
        <v>6622.5793650793648</v>
      </c>
      <c r="J197" s="106"/>
      <c r="K197" s="106"/>
      <c r="L197" s="106"/>
      <c r="M197" s="107"/>
      <c r="N197" s="107"/>
      <c r="O197" s="107"/>
      <c r="P197" s="107"/>
      <c r="Q197" s="107"/>
    </row>
    <row r="198" spans="2:17" x14ac:dyDescent="0.5">
      <c r="B198" s="107" t="s">
        <v>65</v>
      </c>
      <c r="C198" s="123" t="e">
        <f>F101/C197</f>
        <v>#DIV/0!</v>
      </c>
      <c r="D198" s="123" t="e">
        <f t="shared" ref="D198:I198" si="31">G101/D197</f>
        <v>#DIV/0!</v>
      </c>
      <c r="E198" s="123"/>
      <c r="F198" s="123">
        <f t="shared" si="31"/>
        <v>3.4000155423764067</v>
      </c>
      <c r="G198" s="123" t="e">
        <f t="shared" si="31"/>
        <v>#DIV/0!</v>
      </c>
      <c r="H198" s="123">
        <f t="shared" si="31"/>
        <v>0.4862018872445264</v>
      </c>
      <c r="I198" s="123">
        <f t="shared" si="31"/>
        <v>0.49118836450181491</v>
      </c>
      <c r="J198" s="106"/>
      <c r="K198" s="106"/>
      <c r="L198" s="106"/>
      <c r="M198" s="107"/>
      <c r="N198" s="107"/>
      <c r="O198" s="107"/>
      <c r="P198" s="107"/>
      <c r="Q198" s="107"/>
    </row>
    <row r="199" spans="2:17" x14ac:dyDescent="0.5">
      <c r="B199" s="107"/>
      <c r="C199" s="107"/>
      <c r="D199" s="107"/>
      <c r="E199" s="107"/>
      <c r="F199" s="106"/>
      <c r="G199" s="106"/>
      <c r="H199" s="106"/>
      <c r="I199" s="106"/>
      <c r="J199" s="106"/>
      <c r="K199" s="106"/>
      <c r="L199" s="106"/>
      <c r="M199" s="107"/>
      <c r="N199" s="107"/>
      <c r="O199" s="107"/>
      <c r="P199" s="107"/>
      <c r="Q199" s="107"/>
    </row>
    <row r="200" spans="2:17" x14ac:dyDescent="0.5">
      <c r="B200" s="107"/>
      <c r="C200" s="107"/>
      <c r="D200" s="107"/>
      <c r="E200" s="107"/>
      <c r="F200" s="106"/>
      <c r="G200" s="106"/>
      <c r="H200" s="106"/>
      <c r="I200" s="106"/>
      <c r="J200" s="106"/>
      <c r="K200" s="106"/>
      <c r="L200" s="106"/>
      <c r="M200" s="107"/>
      <c r="N200" s="107"/>
      <c r="O200" s="107"/>
      <c r="P200" s="107"/>
      <c r="Q200" s="107"/>
    </row>
    <row r="201" spans="2:17" x14ac:dyDescent="0.5">
      <c r="B201" s="107"/>
      <c r="C201" s="107"/>
      <c r="D201" s="107"/>
      <c r="E201" s="107"/>
      <c r="F201" s="106"/>
      <c r="G201" s="106"/>
      <c r="H201" s="106"/>
      <c r="I201" s="106"/>
      <c r="J201" s="106"/>
      <c r="K201" s="106"/>
      <c r="L201" s="106"/>
      <c r="M201" s="107"/>
      <c r="N201" s="107"/>
      <c r="O201" s="107"/>
      <c r="P201" s="107"/>
      <c r="Q201" s="107"/>
    </row>
    <row r="202" spans="2:17" x14ac:dyDescent="0.5">
      <c r="B202" s="117"/>
      <c r="C202" s="107"/>
      <c r="D202" s="107"/>
      <c r="E202" s="107"/>
      <c r="F202" s="106"/>
      <c r="G202" s="106"/>
      <c r="H202" s="106"/>
      <c r="I202" s="106"/>
      <c r="J202" s="106"/>
      <c r="K202" s="106"/>
      <c r="L202" s="106"/>
      <c r="M202" s="107"/>
      <c r="N202" s="107"/>
      <c r="O202" s="107"/>
      <c r="P202" s="107"/>
      <c r="Q202" s="107"/>
    </row>
    <row r="203" spans="2:17" x14ac:dyDescent="0.5">
      <c r="B203" s="107"/>
      <c r="C203" s="116"/>
      <c r="D203" s="116"/>
      <c r="E203" s="116"/>
      <c r="F203" s="116"/>
      <c r="G203" s="116"/>
      <c r="H203" s="116"/>
      <c r="I203" s="116"/>
      <c r="J203" s="106"/>
      <c r="K203" s="106"/>
      <c r="L203" s="106"/>
      <c r="M203" s="107"/>
      <c r="N203" s="107"/>
      <c r="O203" s="107"/>
      <c r="P203" s="107"/>
      <c r="Q203" s="107"/>
    </row>
    <row r="204" spans="2:17" x14ac:dyDescent="0.5">
      <c r="B204" s="107"/>
      <c r="C204" s="108"/>
      <c r="D204" s="108"/>
      <c r="E204" s="108"/>
      <c r="F204" s="108"/>
      <c r="G204" s="108"/>
      <c r="H204" s="108"/>
      <c r="I204" s="108"/>
      <c r="J204" s="106"/>
      <c r="K204" s="106"/>
      <c r="L204" s="106"/>
      <c r="M204" s="107"/>
      <c r="N204" s="107"/>
      <c r="O204" s="107"/>
      <c r="P204" s="107"/>
      <c r="Q204" s="107"/>
    </row>
    <row r="205" spans="2:17" x14ac:dyDescent="0.5">
      <c r="B205" s="107"/>
      <c r="C205" s="113"/>
      <c r="D205" s="113"/>
      <c r="E205" s="113"/>
      <c r="F205" s="113"/>
      <c r="G205" s="113"/>
      <c r="H205" s="113"/>
      <c r="I205" s="113"/>
      <c r="J205" s="106"/>
      <c r="K205" s="106"/>
      <c r="L205" s="106"/>
      <c r="M205" s="107"/>
      <c r="N205" s="107"/>
      <c r="O205" s="107"/>
      <c r="P205" s="107"/>
      <c r="Q205" s="107"/>
    </row>
    <row r="206" spans="2:17" x14ac:dyDescent="0.5">
      <c r="B206" s="107"/>
      <c r="C206" s="113"/>
      <c r="D206" s="113"/>
      <c r="E206" s="113"/>
      <c r="F206" s="113"/>
      <c r="G206" s="113"/>
      <c r="H206" s="113"/>
      <c r="I206" s="113"/>
      <c r="J206" s="106"/>
      <c r="K206" s="106"/>
      <c r="L206" s="106"/>
      <c r="M206" s="107"/>
      <c r="N206" s="107"/>
      <c r="O206" s="107"/>
      <c r="P206" s="107"/>
      <c r="Q206" s="107"/>
    </row>
    <row r="207" spans="2:17" x14ac:dyDescent="0.5">
      <c r="B207" s="107"/>
      <c r="C207" s="113"/>
      <c r="D207" s="113"/>
      <c r="E207" s="113"/>
      <c r="F207" s="113"/>
      <c r="G207" s="113"/>
      <c r="H207" s="113"/>
      <c r="I207" s="113"/>
      <c r="J207" s="106"/>
      <c r="K207" s="106"/>
      <c r="L207" s="106"/>
      <c r="M207" s="107"/>
      <c r="N207" s="107"/>
      <c r="O207" s="107"/>
      <c r="P207" s="107"/>
      <c r="Q207" s="107"/>
    </row>
    <row r="208" spans="2:17" x14ac:dyDescent="0.5">
      <c r="B208" s="107"/>
      <c r="C208" s="113"/>
      <c r="D208" s="113"/>
      <c r="E208" s="113"/>
      <c r="F208" s="113"/>
      <c r="G208" s="113"/>
      <c r="H208" s="113"/>
      <c r="I208" s="113"/>
      <c r="J208" s="106"/>
      <c r="K208" s="106"/>
      <c r="L208" s="106"/>
      <c r="M208" s="107"/>
      <c r="N208" s="107"/>
      <c r="O208" s="107"/>
      <c r="P208" s="107"/>
      <c r="Q208" s="107"/>
    </row>
    <row r="209" spans="2:17" x14ac:dyDescent="0.5">
      <c r="B209" s="107"/>
      <c r="C209" s="113"/>
      <c r="D209" s="113"/>
      <c r="E209" s="113"/>
      <c r="F209" s="113"/>
      <c r="G209" s="113"/>
      <c r="H209" s="113"/>
      <c r="I209" s="113"/>
      <c r="J209" s="106"/>
      <c r="K209" s="106"/>
      <c r="L209" s="106"/>
      <c r="M209" s="107"/>
      <c r="N209" s="107"/>
      <c r="O209" s="107"/>
      <c r="P209" s="107"/>
      <c r="Q209" s="107"/>
    </row>
    <row r="210" spans="2:17" x14ac:dyDescent="0.5">
      <c r="B210" s="107"/>
      <c r="C210" s="113"/>
      <c r="D210" s="113"/>
      <c r="E210" s="113"/>
      <c r="F210" s="113"/>
      <c r="G210" s="113"/>
      <c r="H210" s="113"/>
      <c r="I210" s="113"/>
      <c r="J210" s="106"/>
      <c r="K210" s="106"/>
      <c r="L210" s="106"/>
      <c r="M210" s="107"/>
      <c r="N210" s="107"/>
      <c r="O210" s="107"/>
      <c r="P210" s="107"/>
      <c r="Q210" s="107"/>
    </row>
    <row r="211" spans="2:17" x14ac:dyDescent="0.5">
      <c r="B211" s="107"/>
      <c r="C211" s="113"/>
      <c r="D211" s="113"/>
      <c r="E211" s="113"/>
      <c r="F211" s="113"/>
      <c r="G211" s="113"/>
      <c r="H211" s="113"/>
      <c r="I211" s="113"/>
      <c r="J211" s="106"/>
      <c r="K211" s="106"/>
      <c r="L211" s="106"/>
      <c r="M211" s="107"/>
      <c r="N211" s="107"/>
      <c r="O211" s="107"/>
      <c r="P211" s="107"/>
      <c r="Q211" s="107"/>
    </row>
    <row r="212" spans="2:17" x14ac:dyDescent="0.5">
      <c r="B212" s="107"/>
      <c r="C212" s="113"/>
      <c r="D212" s="113"/>
      <c r="E212" s="113"/>
      <c r="F212" s="113"/>
      <c r="G212" s="113"/>
      <c r="H212" s="113"/>
      <c r="I212" s="113"/>
      <c r="J212" s="106"/>
      <c r="K212" s="106"/>
      <c r="L212" s="106"/>
      <c r="M212" s="107"/>
      <c r="N212" s="107"/>
      <c r="O212" s="107"/>
      <c r="P212" s="107"/>
      <c r="Q212" s="107"/>
    </row>
    <row r="213" spans="2:17" x14ac:dyDescent="0.5">
      <c r="B213" s="107"/>
      <c r="C213" s="113"/>
      <c r="D213" s="113"/>
      <c r="E213" s="113"/>
      <c r="F213" s="113"/>
      <c r="G213" s="113"/>
      <c r="H213" s="113"/>
      <c r="I213" s="113"/>
      <c r="J213" s="106"/>
      <c r="K213" s="106"/>
      <c r="L213" s="106"/>
      <c r="M213" s="107"/>
      <c r="N213" s="107"/>
      <c r="O213" s="107"/>
      <c r="P213" s="107"/>
      <c r="Q213" s="107"/>
    </row>
    <row r="214" spans="2:17" x14ac:dyDescent="0.5">
      <c r="B214" s="107"/>
      <c r="C214" s="113"/>
      <c r="D214" s="113"/>
      <c r="E214" s="113"/>
      <c r="F214" s="113"/>
      <c r="G214" s="113"/>
      <c r="H214" s="113"/>
      <c r="I214" s="113"/>
      <c r="J214" s="106"/>
      <c r="K214" s="106"/>
      <c r="L214" s="106"/>
      <c r="M214" s="107"/>
      <c r="N214" s="107"/>
      <c r="O214" s="107"/>
      <c r="P214" s="107"/>
      <c r="Q214" s="107"/>
    </row>
    <row r="215" spans="2:17" x14ac:dyDescent="0.5">
      <c r="B215" s="107"/>
      <c r="C215" s="113"/>
      <c r="D215" s="113"/>
      <c r="E215" s="113"/>
      <c r="F215" s="113"/>
      <c r="G215" s="113"/>
      <c r="H215" s="113"/>
      <c r="I215" s="113"/>
      <c r="J215" s="106"/>
      <c r="K215" s="106"/>
      <c r="L215" s="106"/>
      <c r="M215" s="107"/>
      <c r="N215" s="107"/>
      <c r="O215" s="107"/>
      <c r="P215" s="107"/>
      <c r="Q215" s="107"/>
    </row>
    <row r="216" spans="2:17" x14ac:dyDescent="0.5">
      <c r="B216" s="107"/>
      <c r="C216" s="113"/>
      <c r="D216" s="113"/>
      <c r="E216" s="113"/>
      <c r="F216" s="113"/>
      <c r="G216" s="113"/>
      <c r="H216" s="113"/>
      <c r="I216" s="113"/>
      <c r="J216" s="106"/>
      <c r="K216" s="106"/>
      <c r="L216" s="106"/>
      <c r="M216" s="107"/>
      <c r="N216" s="107"/>
      <c r="O216" s="107"/>
      <c r="P216" s="107"/>
      <c r="Q216" s="107"/>
    </row>
    <row r="217" spans="2:17" x14ac:dyDescent="0.5">
      <c r="B217" s="107"/>
      <c r="C217" s="113"/>
      <c r="D217" s="113"/>
      <c r="E217" s="113"/>
      <c r="F217" s="113"/>
      <c r="G217" s="113"/>
      <c r="H217" s="113"/>
      <c r="I217" s="113"/>
      <c r="J217" s="106"/>
      <c r="K217" s="106"/>
      <c r="L217" s="106"/>
      <c r="M217" s="107"/>
      <c r="N217" s="107"/>
      <c r="O217" s="107"/>
      <c r="P217" s="107"/>
      <c r="Q217" s="107"/>
    </row>
    <row r="218" spans="2:17" x14ac:dyDescent="0.5">
      <c r="B218" s="107"/>
      <c r="C218" s="113"/>
      <c r="D218" s="113"/>
      <c r="E218" s="113"/>
      <c r="F218" s="113"/>
      <c r="G218" s="113"/>
      <c r="H218" s="113"/>
      <c r="I218" s="113"/>
      <c r="J218" s="106"/>
      <c r="K218" s="106"/>
      <c r="L218" s="106"/>
      <c r="M218" s="107"/>
      <c r="N218" s="107"/>
      <c r="O218" s="107"/>
      <c r="P218" s="107"/>
      <c r="Q218" s="107"/>
    </row>
    <row r="219" spans="2:17" x14ac:dyDescent="0.5">
      <c r="B219" s="107"/>
      <c r="C219" s="113"/>
      <c r="D219" s="113"/>
      <c r="E219" s="113"/>
      <c r="F219" s="113"/>
      <c r="G219" s="113"/>
      <c r="H219" s="113"/>
      <c r="I219" s="113"/>
      <c r="J219" s="106"/>
      <c r="K219" s="106"/>
      <c r="L219" s="106"/>
      <c r="M219" s="107"/>
      <c r="N219" s="107"/>
      <c r="O219" s="107"/>
      <c r="P219" s="107"/>
      <c r="Q219" s="107"/>
    </row>
    <row r="220" spans="2:17" x14ac:dyDescent="0.5">
      <c r="B220" s="107"/>
      <c r="C220" s="113"/>
      <c r="D220" s="113"/>
      <c r="E220" s="113"/>
      <c r="F220" s="113"/>
      <c r="G220" s="113"/>
      <c r="H220" s="113"/>
      <c r="I220" s="113"/>
      <c r="J220" s="106"/>
      <c r="K220" s="106"/>
      <c r="L220" s="106"/>
      <c r="M220" s="107"/>
      <c r="N220" s="107"/>
      <c r="O220" s="107"/>
      <c r="P220" s="107"/>
      <c r="Q220" s="107"/>
    </row>
    <row r="221" spans="2:17" x14ac:dyDescent="0.5">
      <c r="B221" s="107"/>
      <c r="C221" s="113"/>
      <c r="D221" s="113"/>
      <c r="E221" s="113"/>
      <c r="F221" s="113"/>
      <c r="G221" s="113"/>
      <c r="H221" s="113"/>
      <c r="I221" s="113"/>
      <c r="J221" s="106"/>
      <c r="K221" s="106"/>
      <c r="L221" s="106"/>
      <c r="M221" s="107"/>
      <c r="N221" s="107"/>
      <c r="O221" s="107"/>
      <c r="P221" s="107"/>
      <c r="Q221" s="107"/>
    </row>
    <row r="222" spans="2:17" x14ac:dyDescent="0.5">
      <c r="B222" s="107"/>
      <c r="C222" s="113"/>
      <c r="D222" s="113"/>
      <c r="E222" s="113"/>
      <c r="F222" s="113"/>
      <c r="G222" s="113"/>
      <c r="H222" s="113"/>
      <c r="I222" s="113"/>
      <c r="J222" s="106"/>
      <c r="K222" s="106"/>
      <c r="L222" s="106"/>
      <c r="M222" s="107"/>
      <c r="N222" s="107"/>
      <c r="O222" s="107"/>
      <c r="P222" s="107"/>
      <c r="Q222" s="107"/>
    </row>
    <row r="223" spans="2:17" x14ac:dyDescent="0.5">
      <c r="B223" s="107"/>
      <c r="C223" s="113"/>
      <c r="D223" s="113"/>
      <c r="E223" s="113"/>
      <c r="F223" s="113"/>
      <c r="G223" s="113"/>
      <c r="H223" s="113"/>
      <c r="I223" s="113"/>
      <c r="J223" s="106"/>
      <c r="K223" s="106"/>
      <c r="L223" s="106"/>
      <c r="M223" s="107"/>
      <c r="N223" s="107"/>
      <c r="O223" s="107"/>
      <c r="P223" s="107"/>
      <c r="Q223" s="107"/>
    </row>
    <row r="224" spans="2:17" x14ac:dyDescent="0.5">
      <c r="B224" s="107"/>
      <c r="C224" s="113"/>
      <c r="D224" s="113"/>
      <c r="E224" s="113"/>
      <c r="F224" s="113"/>
      <c r="G224" s="113"/>
      <c r="H224" s="113"/>
      <c r="I224" s="113"/>
      <c r="J224" s="106"/>
      <c r="K224" s="106"/>
      <c r="L224" s="106"/>
      <c r="M224" s="107"/>
      <c r="N224" s="107"/>
      <c r="O224" s="107"/>
      <c r="P224" s="107"/>
      <c r="Q224" s="107"/>
    </row>
    <row r="225" spans="2:17" x14ac:dyDescent="0.5">
      <c r="B225" s="107"/>
      <c r="C225" s="113"/>
      <c r="D225" s="113"/>
      <c r="E225" s="113"/>
      <c r="F225" s="113"/>
      <c r="G225" s="113"/>
      <c r="H225" s="113"/>
      <c r="I225" s="113"/>
      <c r="J225" s="106"/>
      <c r="K225" s="106"/>
      <c r="L225" s="106"/>
      <c r="M225" s="107"/>
      <c r="N225" s="107"/>
      <c r="O225" s="107"/>
      <c r="P225" s="107"/>
      <c r="Q225" s="107"/>
    </row>
    <row r="226" spans="2:17" x14ac:dyDescent="0.5">
      <c r="C226" s="115"/>
      <c r="D226" s="115"/>
      <c r="E226" s="115"/>
      <c r="F226" s="115"/>
      <c r="G226" s="115"/>
      <c r="H226" s="115"/>
      <c r="I226" s="115"/>
      <c r="J226" s="88"/>
      <c r="K226" s="88"/>
      <c r="L226" s="88"/>
    </row>
    <row r="227" spans="2:17" x14ac:dyDescent="0.5">
      <c r="C227" s="115"/>
      <c r="D227" s="115"/>
      <c r="E227" s="115"/>
      <c r="F227" s="115"/>
      <c r="G227" s="115"/>
      <c r="H227" s="115"/>
      <c r="I227" s="115"/>
      <c r="J227" s="88"/>
      <c r="K227" s="88"/>
      <c r="L227" s="88"/>
    </row>
    <row r="228" spans="2:17" x14ac:dyDescent="0.5">
      <c r="C228" s="115"/>
      <c r="D228" s="115"/>
      <c r="E228" s="115"/>
      <c r="F228" s="115"/>
      <c r="G228" s="115"/>
      <c r="H228" s="115"/>
      <c r="I228" s="115"/>
      <c r="J228" s="88"/>
      <c r="K228" s="88"/>
      <c r="L228" s="88"/>
    </row>
    <row r="229" spans="2:17" x14ac:dyDescent="0.5">
      <c r="C229" s="115"/>
      <c r="D229" s="115"/>
      <c r="E229" s="115"/>
      <c r="F229" s="115"/>
      <c r="G229" s="115"/>
      <c r="H229" s="115"/>
      <c r="I229" s="115"/>
      <c r="J229" s="88"/>
      <c r="K229" s="88"/>
      <c r="L229" s="88"/>
    </row>
    <row r="230" spans="2:17" x14ac:dyDescent="0.5">
      <c r="F230" s="88"/>
      <c r="G230" s="88"/>
      <c r="H230" s="88"/>
      <c r="I230" s="88"/>
      <c r="J230" s="88"/>
      <c r="K230" s="88"/>
      <c r="L230" s="88"/>
    </row>
    <row r="231" spans="2:17" x14ac:dyDescent="0.5">
      <c r="B231" s="18"/>
      <c r="F231" s="88"/>
      <c r="G231" s="88"/>
      <c r="H231" s="88"/>
      <c r="I231" s="88"/>
      <c r="J231" s="88"/>
      <c r="K231" s="88"/>
      <c r="L231" s="88"/>
    </row>
    <row r="232" spans="2:17" x14ac:dyDescent="0.5">
      <c r="C232" s="124"/>
      <c r="D232" s="124"/>
      <c r="E232" s="124"/>
      <c r="F232" s="124"/>
      <c r="G232" s="124"/>
      <c r="H232" s="124"/>
      <c r="I232" s="124"/>
      <c r="J232" s="88"/>
      <c r="K232" s="88"/>
      <c r="L232" s="88"/>
    </row>
    <row r="233" spans="2:17" x14ac:dyDescent="0.5">
      <c r="C233" s="125"/>
      <c r="D233" s="125"/>
      <c r="E233" s="125"/>
      <c r="F233" s="125"/>
      <c r="G233" s="125"/>
      <c r="H233" s="125"/>
      <c r="I233" s="125"/>
      <c r="J233" s="88"/>
      <c r="K233" s="88"/>
      <c r="L233" s="88"/>
    </row>
    <row r="234" spans="2:17" x14ac:dyDescent="0.5">
      <c r="C234" s="115"/>
      <c r="D234" s="115"/>
      <c r="E234" s="115"/>
      <c r="F234" s="115"/>
      <c r="G234" s="115"/>
      <c r="H234" s="115"/>
      <c r="I234" s="115"/>
      <c r="J234" s="88"/>
      <c r="K234" s="88"/>
      <c r="L234" s="88"/>
    </row>
    <row r="235" spans="2:17" x14ac:dyDescent="0.5">
      <c r="C235" s="115"/>
      <c r="D235" s="115"/>
      <c r="E235" s="115"/>
      <c r="F235" s="115"/>
      <c r="G235" s="115"/>
      <c r="H235" s="115"/>
      <c r="I235" s="115"/>
      <c r="J235" s="88"/>
      <c r="K235" s="88"/>
      <c r="L235" s="88"/>
    </row>
    <row r="236" spans="2:17" x14ac:dyDescent="0.5">
      <c r="C236" s="115"/>
      <c r="D236" s="115"/>
      <c r="E236" s="115"/>
      <c r="F236" s="115"/>
      <c r="G236" s="115"/>
      <c r="H236" s="115"/>
      <c r="I236" s="115"/>
      <c r="J236" s="88"/>
      <c r="K236" s="88"/>
      <c r="L236" s="88"/>
    </row>
    <row r="237" spans="2:17" x14ac:dyDescent="0.5">
      <c r="C237" s="115"/>
      <c r="D237" s="115"/>
      <c r="E237" s="115"/>
      <c r="F237" s="115"/>
      <c r="G237" s="115"/>
      <c r="H237" s="115"/>
      <c r="I237" s="115"/>
      <c r="J237" s="88"/>
      <c r="K237" s="88"/>
      <c r="L237" s="88"/>
    </row>
    <row r="238" spans="2:17" x14ac:dyDescent="0.5">
      <c r="C238" s="115"/>
      <c r="D238" s="115"/>
      <c r="E238" s="115"/>
      <c r="F238" s="115"/>
      <c r="G238" s="115"/>
      <c r="H238" s="115"/>
      <c r="I238" s="115"/>
      <c r="J238" s="88"/>
      <c r="K238" s="88"/>
      <c r="L238" s="88"/>
    </row>
    <row r="239" spans="2:17" x14ac:dyDescent="0.5">
      <c r="C239" s="115"/>
      <c r="D239" s="115"/>
      <c r="E239" s="115"/>
      <c r="F239" s="115"/>
      <c r="G239" s="115"/>
      <c r="H239" s="115"/>
      <c r="I239" s="115"/>
      <c r="J239" s="88"/>
      <c r="K239" s="88"/>
      <c r="L239" s="88"/>
    </row>
    <row r="240" spans="2:17" x14ac:dyDescent="0.5">
      <c r="C240" s="115"/>
      <c r="D240" s="115"/>
      <c r="E240" s="115"/>
      <c r="F240" s="115"/>
      <c r="G240" s="115"/>
      <c r="H240" s="115"/>
      <c r="I240" s="115"/>
      <c r="J240" s="88"/>
      <c r="K240" s="88"/>
      <c r="L240" s="88"/>
    </row>
    <row r="241" spans="3:12" x14ac:dyDescent="0.5">
      <c r="C241" s="115"/>
      <c r="D241" s="115"/>
      <c r="E241" s="115"/>
      <c r="F241" s="115"/>
      <c r="G241" s="115"/>
      <c r="H241" s="115"/>
      <c r="I241" s="115"/>
      <c r="J241" s="88"/>
      <c r="K241" s="88"/>
      <c r="L241" s="88"/>
    </row>
    <row r="242" spans="3:12" x14ac:dyDescent="0.5">
      <c r="C242" s="115"/>
      <c r="D242" s="115"/>
      <c r="E242" s="115"/>
      <c r="F242" s="115"/>
      <c r="G242" s="115"/>
      <c r="H242" s="115"/>
      <c r="I242" s="115"/>
      <c r="J242" s="88"/>
      <c r="K242" s="88"/>
      <c r="L242" s="88"/>
    </row>
    <row r="243" spans="3:12" x14ac:dyDescent="0.5">
      <c r="C243" s="115"/>
      <c r="D243" s="115"/>
      <c r="E243" s="115"/>
      <c r="F243" s="115"/>
      <c r="G243" s="115"/>
      <c r="H243" s="115"/>
      <c r="I243" s="115"/>
      <c r="J243" s="88"/>
      <c r="K243" s="88"/>
      <c r="L243" s="88"/>
    </row>
    <row r="244" spans="3:12" x14ac:dyDescent="0.5">
      <c r="C244" s="115"/>
      <c r="D244" s="115"/>
      <c r="E244" s="115"/>
      <c r="F244" s="115"/>
      <c r="G244" s="115"/>
      <c r="H244" s="115"/>
      <c r="I244" s="115"/>
      <c r="J244" s="88"/>
      <c r="K244" s="88"/>
      <c r="L244" s="88"/>
    </row>
    <row r="245" spans="3:12" x14ac:dyDescent="0.5">
      <c r="C245" s="115"/>
      <c r="D245" s="115"/>
      <c r="E245" s="115"/>
      <c r="F245" s="115"/>
      <c r="G245" s="115"/>
      <c r="H245" s="115"/>
      <c r="I245" s="115"/>
      <c r="J245" s="88"/>
      <c r="K245" s="88"/>
      <c r="L245" s="88"/>
    </row>
    <row r="246" spans="3:12" x14ac:dyDescent="0.5">
      <c r="C246" s="115"/>
      <c r="D246" s="115"/>
      <c r="E246" s="115"/>
      <c r="F246" s="115"/>
      <c r="G246" s="115"/>
      <c r="H246" s="115"/>
      <c r="I246" s="115"/>
      <c r="J246" s="88"/>
      <c r="K246" s="88"/>
      <c r="L246" s="88"/>
    </row>
    <row r="247" spans="3:12" x14ac:dyDescent="0.5">
      <c r="C247" s="115"/>
      <c r="D247" s="115"/>
      <c r="E247" s="115"/>
      <c r="F247" s="115"/>
      <c r="G247" s="115"/>
      <c r="H247" s="115"/>
      <c r="I247" s="115"/>
      <c r="J247" s="88"/>
      <c r="K247" s="88"/>
      <c r="L247" s="88"/>
    </row>
    <row r="248" spans="3:12" x14ac:dyDescent="0.5">
      <c r="C248" s="115"/>
      <c r="D248" s="115"/>
      <c r="E248" s="115"/>
      <c r="F248" s="115"/>
      <c r="G248" s="115"/>
      <c r="H248" s="115"/>
      <c r="I248" s="115"/>
      <c r="J248" s="88"/>
      <c r="K248" s="88"/>
      <c r="L248" s="88"/>
    </row>
    <row r="249" spans="3:12" x14ac:dyDescent="0.5">
      <c r="C249" s="115"/>
      <c r="D249" s="115"/>
      <c r="E249" s="115"/>
      <c r="F249" s="115"/>
      <c r="G249" s="115"/>
      <c r="H249" s="115"/>
      <c r="I249" s="115"/>
      <c r="J249" s="88"/>
      <c r="K249" s="88"/>
      <c r="L249" s="88"/>
    </row>
    <row r="250" spans="3:12" x14ac:dyDescent="0.5">
      <c r="C250" s="115"/>
      <c r="D250" s="115"/>
      <c r="E250" s="115"/>
      <c r="F250" s="115"/>
      <c r="G250" s="115"/>
      <c r="H250" s="115"/>
      <c r="I250" s="115"/>
      <c r="J250" s="88"/>
      <c r="K250" s="88"/>
      <c r="L250" s="88"/>
    </row>
    <row r="251" spans="3:12" x14ac:dyDescent="0.5">
      <c r="C251" s="115"/>
      <c r="D251" s="115"/>
      <c r="E251" s="115"/>
      <c r="F251" s="115"/>
      <c r="G251" s="115"/>
      <c r="H251" s="115"/>
      <c r="I251" s="115"/>
      <c r="J251" s="88"/>
      <c r="K251" s="88"/>
      <c r="L251" s="88"/>
    </row>
    <row r="252" spans="3:12" x14ac:dyDescent="0.5">
      <c r="C252" s="115"/>
      <c r="D252" s="115"/>
      <c r="E252" s="115"/>
      <c r="F252" s="115"/>
      <c r="G252" s="115"/>
      <c r="H252" s="115"/>
      <c r="I252" s="115"/>
      <c r="J252" s="88"/>
      <c r="K252" s="88"/>
      <c r="L252" s="88"/>
    </row>
    <row r="253" spans="3:12" x14ac:dyDescent="0.5">
      <c r="C253" s="115"/>
      <c r="D253" s="115"/>
      <c r="E253" s="115"/>
      <c r="F253" s="115"/>
      <c r="G253" s="115"/>
      <c r="H253" s="115"/>
      <c r="I253" s="115"/>
      <c r="J253" s="88"/>
      <c r="K253" s="88"/>
      <c r="L253" s="88"/>
    </row>
    <row r="254" spans="3:12" x14ac:dyDescent="0.5">
      <c r="C254" s="115"/>
      <c r="D254" s="115"/>
      <c r="E254" s="115"/>
      <c r="F254" s="115"/>
      <c r="G254" s="115"/>
      <c r="H254" s="115"/>
      <c r="I254" s="115"/>
      <c r="J254" s="88"/>
      <c r="K254" s="88"/>
      <c r="L254" s="88"/>
    </row>
    <row r="255" spans="3:12" x14ac:dyDescent="0.5">
      <c r="C255" s="115"/>
      <c r="D255" s="115"/>
      <c r="E255" s="115"/>
      <c r="F255" s="115"/>
      <c r="G255" s="115"/>
      <c r="H255" s="115"/>
      <c r="I255" s="115"/>
      <c r="J255" s="88"/>
      <c r="K255" s="88"/>
      <c r="L255" s="88"/>
    </row>
    <row r="256" spans="3:12" x14ac:dyDescent="0.5">
      <c r="C256" s="115"/>
      <c r="D256" s="115"/>
      <c r="E256" s="115"/>
      <c r="F256" s="115"/>
      <c r="G256" s="115"/>
      <c r="H256" s="115"/>
      <c r="I256" s="115"/>
      <c r="J256" s="88"/>
      <c r="K256" s="88"/>
      <c r="L256" s="88"/>
    </row>
    <row r="257" spans="2:12" x14ac:dyDescent="0.5">
      <c r="C257" s="115"/>
      <c r="D257" s="115"/>
      <c r="E257" s="115"/>
      <c r="F257" s="115"/>
      <c r="G257" s="115"/>
      <c r="H257" s="115"/>
      <c r="I257" s="115"/>
      <c r="J257" s="88"/>
      <c r="K257" s="88"/>
      <c r="L257" s="88"/>
    </row>
    <row r="258" spans="2:12" x14ac:dyDescent="0.5">
      <c r="C258" s="115"/>
      <c r="D258" s="115"/>
      <c r="E258" s="115"/>
      <c r="F258" s="115"/>
      <c r="G258" s="115"/>
      <c r="H258" s="115"/>
      <c r="I258" s="115"/>
      <c r="J258" s="88"/>
      <c r="K258" s="88"/>
      <c r="L258" s="88"/>
    </row>
    <row r="259" spans="2:12" x14ac:dyDescent="0.5">
      <c r="F259" s="88"/>
      <c r="G259" s="88"/>
      <c r="H259" s="88"/>
      <c r="I259" s="88"/>
      <c r="J259" s="88"/>
      <c r="K259" s="88"/>
      <c r="L259" s="88"/>
    </row>
    <row r="260" spans="2:12" x14ac:dyDescent="0.5">
      <c r="B260" s="18"/>
      <c r="F260" s="88"/>
      <c r="G260" s="88"/>
      <c r="H260" s="88"/>
      <c r="I260" s="88"/>
      <c r="J260" s="88"/>
      <c r="K260" s="88"/>
      <c r="L260" s="88"/>
    </row>
    <row r="261" spans="2:12" x14ac:dyDescent="0.5">
      <c r="C261" s="124"/>
      <c r="D261" s="124"/>
      <c r="E261" s="124"/>
      <c r="F261" s="124"/>
      <c r="G261" s="124"/>
      <c r="H261" s="124"/>
      <c r="I261" s="124"/>
      <c r="J261" s="88"/>
      <c r="K261" s="88"/>
      <c r="L261" s="88"/>
    </row>
    <row r="262" spans="2:12" x14ac:dyDescent="0.5">
      <c r="C262" s="125"/>
      <c r="D262" s="125"/>
      <c r="E262" s="125"/>
      <c r="F262" s="125"/>
      <c r="G262" s="125"/>
      <c r="H262" s="125"/>
      <c r="I262" s="125"/>
      <c r="J262" s="88"/>
      <c r="K262" s="88"/>
      <c r="L262" s="88"/>
    </row>
    <row r="263" spans="2:12" x14ac:dyDescent="0.5">
      <c r="C263" s="115"/>
      <c r="D263" s="115"/>
      <c r="E263" s="115"/>
      <c r="F263" s="115"/>
      <c r="G263" s="115"/>
      <c r="H263" s="115"/>
      <c r="I263" s="115"/>
      <c r="J263" s="88"/>
      <c r="K263" s="88"/>
      <c r="L263" s="88"/>
    </row>
    <row r="264" spans="2:12" x14ac:dyDescent="0.5">
      <c r="C264" s="115"/>
      <c r="D264" s="115"/>
      <c r="E264" s="115"/>
      <c r="F264" s="115"/>
      <c r="G264" s="115"/>
      <c r="H264" s="115"/>
      <c r="I264" s="115"/>
      <c r="J264" s="88"/>
      <c r="K264" s="88"/>
      <c r="L264" s="88"/>
    </row>
    <row r="265" spans="2:12" x14ac:dyDescent="0.5">
      <c r="C265" s="115"/>
      <c r="D265" s="115"/>
      <c r="E265" s="115"/>
      <c r="F265" s="115"/>
      <c r="G265" s="115"/>
      <c r="H265" s="115"/>
      <c r="I265" s="115"/>
      <c r="J265" s="88"/>
      <c r="K265" s="88"/>
      <c r="L265" s="88"/>
    </row>
    <row r="266" spans="2:12" x14ac:dyDescent="0.5">
      <c r="C266" s="115"/>
      <c r="D266" s="115"/>
      <c r="E266" s="115"/>
      <c r="F266" s="115"/>
      <c r="G266" s="115"/>
      <c r="H266" s="115"/>
      <c r="I266" s="115"/>
      <c r="J266" s="88"/>
      <c r="K266" s="88"/>
      <c r="L266" s="88"/>
    </row>
    <row r="267" spans="2:12" x14ac:dyDescent="0.5">
      <c r="C267" s="115"/>
      <c r="D267" s="115"/>
      <c r="E267" s="115"/>
      <c r="F267" s="115"/>
      <c r="G267" s="115"/>
      <c r="H267" s="115"/>
      <c r="I267" s="115"/>
      <c r="J267" s="88"/>
      <c r="K267" s="88"/>
      <c r="L267" s="88"/>
    </row>
    <row r="268" spans="2:12" x14ac:dyDescent="0.5">
      <c r="C268" s="115"/>
      <c r="D268" s="115"/>
      <c r="E268" s="115"/>
      <c r="F268" s="115"/>
      <c r="G268" s="115"/>
      <c r="H268" s="115"/>
      <c r="I268" s="115"/>
      <c r="J268" s="88"/>
      <c r="K268" s="88"/>
      <c r="L268" s="88"/>
    </row>
    <row r="269" spans="2:12" x14ac:dyDescent="0.5">
      <c r="C269" s="115"/>
      <c r="D269" s="115"/>
      <c r="E269" s="115"/>
      <c r="F269" s="115"/>
      <c r="G269" s="115"/>
      <c r="H269" s="115"/>
      <c r="I269" s="115"/>
      <c r="J269" s="88"/>
      <c r="K269" s="88"/>
      <c r="L269" s="88"/>
    </row>
    <row r="270" spans="2:12" x14ac:dyDescent="0.5">
      <c r="C270" s="115"/>
      <c r="D270" s="115"/>
      <c r="E270" s="115"/>
      <c r="F270" s="115"/>
      <c r="G270" s="115"/>
      <c r="H270" s="115"/>
      <c r="I270" s="115"/>
      <c r="J270" s="88"/>
      <c r="K270" s="88"/>
      <c r="L270" s="88"/>
    </row>
    <row r="271" spans="2:12" x14ac:dyDescent="0.5">
      <c r="C271" s="115"/>
      <c r="D271" s="115"/>
      <c r="E271" s="115"/>
      <c r="F271" s="115"/>
      <c r="G271" s="115"/>
      <c r="H271" s="115"/>
      <c r="I271" s="115"/>
      <c r="J271" s="88"/>
      <c r="K271" s="88"/>
      <c r="L271" s="88"/>
    </row>
    <row r="272" spans="2:12" x14ac:dyDescent="0.5">
      <c r="C272" s="115"/>
      <c r="D272" s="115"/>
      <c r="E272" s="115"/>
      <c r="F272" s="115"/>
      <c r="G272" s="115"/>
      <c r="H272" s="115"/>
      <c r="I272" s="115"/>
      <c r="J272" s="88"/>
      <c r="K272" s="88"/>
      <c r="L272" s="88"/>
    </row>
    <row r="273" spans="3:12" x14ac:dyDescent="0.5">
      <c r="C273" s="115"/>
      <c r="D273" s="115"/>
      <c r="E273" s="115"/>
      <c r="F273" s="115"/>
      <c r="G273" s="115"/>
      <c r="H273" s="115"/>
      <c r="I273" s="115"/>
      <c r="J273" s="88"/>
      <c r="K273" s="88"/>
      <c r="L273" s="88"/>
    </row>
    <row r="274" spans="3:12" x14ac:dyDescent="0.5">
      <c r="C274" s="115"/>
      <c r="D274" s="115"/>
      <c r="E274" s="115"/>
      <c r="F274" s="115"/>
      <c r="G274" s="115"/>
      <c r="H274" s="115"/>
      <c r="I274" s="115"/>
      <c r="J274" s="88"/>
      <c r="K274" s="88"/>
      <c r="L274" s="88"/>
    </row>
    <row r="275" spans="3:12" x14ac:dyDescent="0.5">
      <c r="C275" s="115"/>
      <c r="D275" s="115"/>
      <c r="E275" s="115"/>
      <c r="F275" s="115"/>
      <c r="G275" s="115"/>
      <c r="H275" s="115"/>
      <c r="I275" s="115"/>
      <c r="J275" s="88"/>
      <c r="K275" s="88"/>
      <c r="L275" s="88"/>
    </row>
    <row r="276" spans="3:12" x14ac:dyDescent="0.5">
      <c r="C276" s="115"/>
      <c r="D276" s="115"/>
      <c r="E276" s="115"/>
      <c r="F276" s="115"/>
      <c r="G276" s="115"/>
      <c r="H276" s="115"/>
      <c r="I276" s="115"/>
      <c r="J276" s="88"/>
      <c r="K276" s="88"/>
      <c r="L276" s="88"/>
    </row>
    <row r="277" spans="3:12" x14ac:dyDescent="0.5">
      <c r="C277" s="115"/>
      <c r="D277" s="115"/>
      <c r="E277" s="115"/>
      <c r="F277" s="115"/>
      <c r="G277" s="115"/>
      <c r="H277" s="115"/>
      <c r="I277" s="115"/>
      <c r="J277" s="88"/>
      <c r="K277" s="88"/>
      <c r="L277" s="88"/>
    </row>
    <row r="278" spans="3:12" x14ac:dyDescent="0.5">
      <c r="C278" s="115"/>
      <c r="D278" s="115"/>
      <c r="E278" s="115"/>
      <c r="F278" s="115"/>
      <c r="G278" s="115"/>
      <c r="H278" s="115"/>
      <c r="I278" s="115"/>
      <c r="J278" s="88"/>
      <c r="K278" s="88"/>
      <c r="L278" s="88"/>
    </row>
    <row r="279" spans="3:12" x14ac:dyDescent="0.5">
      <c r="C279" s="115"/>
      <c r="D279" s="115"/>
      <c r="E279" s="115"/>
      <c r="F279" s="115"/>
      <c r="G279" s="115"/>
      <c r="H279" s="115"/>
      <c r="I279" s="115"/>
      <c r="J279" s="88"/>
      <c r="K279" s="88"/>
      <c r="L279" s="88"/>
    </row>
    <row r="280" spans="3:12" x14ac:dyDescent="0.5">
      <c r="C280" s="115"/>
      <c r="D280" s="115"/>
      <c r="E280" s="115"/>
      <c r="F280" s="115"/>
      <c r="G280" s="115"/>
      <c r="H280" s="115"/>
      <c r="I280" s="115"/>
      <c r="J280" s="88"/>
      <c r="K280" s="88"/>
      <c r="L280" s="88"/>
    </row>
    <row r="281" spans="3:12" x14ac:dyDescent="0.5">
      <c r="C281" s="115"/>
      <c r="D281" s="115"/>
      <c r="E281" s="115"/>
      <c r="F281" s="115"/>
      <c r="G281" s="115"/>
      <c r="H281" s="115"/>
      <c r="I281" s="115"/>
      <c r="J281" s="88"/>
      <c r="K281" s="88"/>
      <c r="L281" s="88"/>
    </row>
    <row r="282" spans="3:12" x14ac:dyDescent="0.5">
      <c r="C282" s="115"/>
      <c r="D282" s="115"/>
      <c r="E282" s="115"/>
      <c r="F282" s="115"/>
      <c r="G282" s="115"/>
      <c r="H282" s="115"/>
      <c r="I282" s="115"/>
      <c r="J282" s="88"/>
      <c r="K282" s="88"/>
      <c r="L282" s="88"/>
    </row>
    <row r="283" spans="3:12" x14ac:dyDescent="0.5">
      <c r="C283" s="115"/>
      <c r="D283" s="115"/>
      <c r="E283" s="115"/>
      <c r="F283" s="115"/>
      <c r="G283" s="115"/>
      <c r="H283" s="115"/>
      <c r="I283" s="115"/>
      <c r="J283" s="88"/>
      <c r="K283" s="88"/>
      <c r="L283" s="88"/>
    </row>
    <row r="284" spans="3:12" x14ac:dyDescent="0.5">
      <c r="C284" s="115"/>
      <c r="D284" s="115"/>
      <c r="E284" s="115"/>
      <c r="F284" s="115"/>
      <c r="G284" s="115"/>
      <c r="H284" s="115"/>
      <c r="I284" s="115"/>
      <c r="J284" s="88"/>
      <c r="K284" s="88"/>
      <c r="L284" s="88"/>
    </row>
    <row r="285" spans="3:12" x14ac:dyDescent="0.5">
      <c r="C285" s="115"/>
      <c r="D285" s="115"/>
      <c r="E285" s="115"/>
      <c r="F285" s="115"/>
      <c r="G285" s="115"/>
      <c r="H285" s="115"/>
      <c r="I285" s="115"/>
      <c r="J285" s="88"/>
      <c r="K285" s="88"/>
      <c r="L285" s="88"/>
    </row>
    <row r="286" spans="3:12" x14ac:dyDescent="0.5">
      <c r="C286" s="115"/>
      <c r="D286" s="115"/>
      <c r="E286" s="115"/>
      <c r="F286" s="115"/>
      <c r="G286" s="115"/>
      <c r="H286" s="115"/>
      <c r="I286" s="115"/>
      <c r="J286" s="88"/>
      <c r="K286" s="88"/>
      <c r="L286" s="88"/>
    </row>
    <row r="287" spans="3:12" x14ac:dyDescent="0.5">
      <c r="C287" s="115"/>
      <c r="D287" s="115"/>
      <c r="E287" s="115"/>
      <c r="F287" s="115"/>
      <c r="G287" s="115"/>
      <c r="H287" s="115"/>
      <c r="I287" s="115"/>
      <c r="J287" s="88"/>
      <c r="K287" s="88"/>
      <c r="L287" s="88"/>
    </row>
    <row r="288" spans="3:12" x14ac:dyDescent="0.5">
      <c r="F288" s="88"/>
      <c r="G288" s="88"/>
      <c r="H288" s="88"/>
      <c r="I288" s="88"/>
      <c r="J288" s="88"/>
      <c r="K288" s="88"/>
      <c r="L288" s="88"/>
    </row>
    <row r="289" spans="2:12" x14ac:dyDescent="0.5">
      <c r="B289" s="18"/>
      <c r="F289" s="88"/>
      <c r="G289" s="88"/>
      <c r="H289" s="88"/>
      <c r="I289" s="88"/>
      <c r="J289" s="88"/>
      <c r="K289" s="88"/>
      <c r="L289" s="88"/>
    </row>
    <row r="290" spans="2:12" x14ac:dyDescent="0.5">
      <c r="F290" s="88"/>
      <c r="G290" s="88"/>
      <c r="H290" s="88"/>
      <c r="I290" s="88"/>
      <c r="J290" s="88"/>
      <c r="K290" s="88"/>
      <c r="L290" s="88"/>
    </row>
    <row r="291" spans="2:12" x14ac:dyDescent="0.5">
      <c r="C291" s="124"/>
      <c r="D291" s="124"/>
      <c r="E291" s="124"/>
      <c r="F291" s="124"/>
      <c r="G291" s="124"/>
      <c r="H291" s="124"/>
      <c r="I291" s="124"/>
      <c r="J291" s="88"/>
      <c r="K291" s="88"/>
      <c r="L291" s="88"/>
    </row>
    <row r="292" spans="2:12" x14ac:dyDescent="0.5">
      <c r="C292" s="125"/>
      <c r="D292" s="125"/>
      <c r="E292" s="125"/>
      <c r="F292" s="125"/>
      <c r="G292" s="125"/>
      <c r="H292" s="125"/>
      <c r="I292" s="125"/>
      <c r="J292" s="88"/>
      <c r="K292" s="88"/>
      <c r="L292" s="88"/>
    </row>
    <row r="293" spans="2:12" x14ac:dyDescent="0.5">
      <c r="C293" s="125"/>
      <c r="D293" s="125"/>
      <c r="E293" s="125"/>
      <c r="F293" s="125"/>
      <c r="G293" s="125"/>
      <c r="H293" s="125"/>
      <c r="I293" s="125"/>
      <c r="J293" s="88"/>
      <c r="K293" s="88"/>
      <c r="L293" s="88"/>
    </row>
    <row r="294" spans="2:12" x14ac:dyDescent="0.5">
      <c r="C294" s="125"/>
      <c r="D294" s="125"/>
      <c r="E294" s="125"/>
      <c r="F294" s="125"/>
      <c r="G294" s="125"/>
      <c r="H294" s="125"/>
      <c r="I294" s="125"/>
      <c r="J294" s="88"/>
      <c r="K294" s="88"/>
      <c r="L294" s="88"/>
    </row>
    <row r="295" spans="2:12" x14ac:dyDescent="0.5">
      <c r="C295" s="125"/>
      <c r="D295" s="125"/>
      <c r="E295" s="125"/>
      <c r="F295" s="125"/>
      <c r="G295" s="125"/>
      <c r="H295" s="125"/>
      <c r="I295" s="125"/>
    </row>
    <row r="296" spans="2:12" x14ac:dyDescent="0.5">
      <c r="C296" s="125"/>
      <c r="D296" s="125"/>
      <c r="E296" s="125"/>
      <c r="F296" s="125"/>
      <c r="G296" s="125"/>
      <c r="H296" s="125"/>
      <c r="I296" s="125"/>
    </row>
    <row r="297" spans="2:12" x14ac:dyDescent="0.5">
      <c r="C297" s="125"/>
      <c r="D297" s="125"/>
      <c r="E297" s="125"/>
      <c r="F297" s="125"/>
      <c r="G297" s="125"/>
      <c r="H297" s="125"/>
      <c r="I297" s="125"/>
    </row>
    <row r="298" spans="2:12" x14ac:dyDescent="0.5">
      <c r="C298" s="125"/>
      <c r="D298" s="125"/>
      <c r="E298" s="125"/>
      <c r="F298" s="125"/>
      <c r="G298" s="125"/>
      <c r="H298" s="125"/>
      <c r="I298" s="125"/>
    </row>
    <row r="299" spans="2:12" x14ac:dyDescent="0.5">
      <c r="C299" s="125"/>
      <c r="D299" s="125"/>
      <c r="E299" s="125"/>
      <c r="F299" s="125"/>
      <c r="G299" s="125"/>
      <c r="H299" s="125"/>
      <c r="I299" s="125"/>
    </row>
    <row r="300" spans="2:12" x14ac:dyDescent="0.5">
      <c r="C300" s="125"/>
      <c r="D300" s="125"/>
      <c r="E300" s="125"/>
      <c r="F300" s="125"/>
      <c r="G300" s="125"/>
      <c r="H300" s="125"/>
      <c r="I300" s="125"/>
    </row>
    <row r="301" spans="2:12" x14ac:dyDescent="0.5">
      <c r="C301" s="125"/>
      <c r="D301" s="125"/>
      <c r="E301" s="125"/>
      <c r="F301" s="125"/>
      <c r="G301" s="125"/>
      <c r="H301" s="125"/>
      <c r="I301" s="125"/>
    </row>
    <row r="302" spans="2:12" x14ac:dyDescent="0.5">
      <c r="C302" s="125"/>
      <c r="D302" s="125"/>
      <c r="E302" s="125"/>
      <c r="F302" s="125"/>
      <c r="G302" s="125"/>
      <c r="H302" s="125"/>
      <c r="I302" s="125"/>
    </row>
    <row r="303" spans="2:12" x14ac:dyDescent="0.5">
      <c r="C303" s="125"/>
      <c r="D303" s="125"/>
      <c r="E303" s="125"/>
      <c r="F303" s="125"/>
      <c r="G303" s="125"/>
      <c r="H303" s="125"/>
      <c r="I303" s="125"/>
    </row>
    <row r="304" spans="2:12" x14ac:dyDescent="0.5">
      <c r="C304" s="125"/>
      <c r="D304" s="125"/>
      <c r="E304" s="125"/>
      <c r="F304" s="125"/>
      <c r="G304" s="125"/>
      <c r="H304" s="125"/>
      <c r="I304" s="125"/>
    </row>
    <row r="305" spans="3:9" x14ac:dyDescent="0.5">
      <c r="C305" s="125"/>
      <c r="D305" s="125"/>
      <c r="E305" s="125"/>
      <c r="F305" s="125"/>
      <c r="G305" s="125"/>
      <c r="H305" s="125"/>
      <c r="I305" s="125"/>
    </row>
    <row r="306" spans="3:9" x14ac:dyDescent="0.5">
      <c r="C306" s="125"/>
      <c r="D306" s="125"/>
      <c r="E306" s="125"/>
      <c r="F306" s="125"/>
      <c r="G306" s="125"/>
      <c r="H306" s="125"/>
      <c r="I306" s="125"/>
    </row>
    <row r="307" spans="3:9" x14ac:dyDescent="0.5">
      <c r="C307" s="125"/>
      <c r="D307" s="125"/>
      <c r="E307" s="125"/>
      <c r="F307" s="125"/>
      <c r="G307" s="125"/>
      <c r="H307" s="125"/>
      <c r="I307" s="125"/>
    </row>
    <row r="308" spans="3:9" x14ac:dyDescent="0.5">
      <c r="C308" s="125"/>
      <c r="D308" s="125"/>
      <c r="E308" s="125"/>
      <c r="F308" s="125"/>
      <c r="G308" s="125"/>
      <c r="H308" s="125"/>
      <c r="I308" s="125"/>
    </row>
    <row r="309" spans="3:9" x14ac:dyDescent="0.5">
      <c r="C309" s="125"/>
      <c r="D309" s="125"/>
      <c r="E309" s="125"/>
      <c r="F309" s="125"/>
      <c r="G309" s="125"/>
      <c r="H309" s="125"/>
      <c r="I309" s="125"/>
    </row>
    <row r="310" spans="3:9" x14ac:dyDescent="0.5">
      <c r="C310" s="125"/>
      <c r="D310" s="125"/>
      <c r="E310" s="125"/>
      <c r="F310" s="125"/>
      <c r="G310" s="125"/>
      <c r="H310" s="125"/>
      <c r="I310" s="125"/>
    </row>
    <row r="311" spans="3:9" x14ac:dyDescent="0.5">
      <c r="C311" s="125"/>
      <c r="D311" s="125"/>
      <c r="E311" s="125"/>
      <c r="F311" s="125"/>
      <c r="G311" s="125"/>
      <c r="H311" s="125"/>
      <c r="I311" s="125"/>
    </row>
    <row r="312" spans="3:9" x14ac:dyDescent="0.5">
      <c r="C312" s="125"/>
      <c r="D312" s="125"/>
      <c r="E312" s="125"/>
      <c r="F312" s="125"/>
      <c r="G312" s="125"/>
      <c r="H312" s="125"/>
      <c r="I312" s="125"/>
    </row>
    <row r="313" spans="3:9" x14ac:dyDescent="0.5">
      <c r="C313" s="125"/>
      <c r="D313" s="125"/>
      <c r="E313" s="125"/>
      <c r="F313" s="125"/>
      <c r="G313" s="125"/>
      <c r="H313" s="125"/>
      <c r="I313" s="125"/>
    </row>
    <row r="314" spans="3:9" x14ac:dyDescent="0.5">
      <c r="C314" s="125"/>
      <c r="D314" s="125"/>
      <c r="E314" s="125"/>
      <c r="F314" s="125"/>
      <c r="G314" s="125"/>
      <c r="H314" s="125"/>
      <c r="I314" s="125"/>
    </row>
    <row r="315" spans="3:9" x14ac:dyDescent="0.5">
      <c r="C315" s="125"/>
      <c r="D315" s="125"/>
      <c r="E315" s="125"/>
      <c r="F315" s="125"/>
      <c r="G315" s="125"/>
      <c r="H315" s="125"/>
      <c r="I315" s="125"/>
    </row>
    <row r="316" spans="3:9" x14ac:dyDescent="0.5">
      <c r="C316" s="125"/>
      <c r="D316" s="125"/>
      <c r="E316" s="125"/>
      <c r="F316" s="125"/>
      <c r="G316" s="125"/>
      <c r="H316" s="125"/>
      <c r="I316" s="125"/>
    </row>
    <row r="317" spans="3:9" x14ac:dyDescent="0.5">
      <c r="C317" s="125"/>
      <c r="D317" s="125"/>
      <c r="E317" s="125"/>
      <c r="F317" s="125"/>
      <c r="G317" s="125"/>
      <c r="H317" s="125"/>
      <c r="I317" s="125"/>
    </row>
  </sheetData>
  <mergeCells count="9">
    <mergeCell ref="J26:J28"/>
    <mergeCell ref="K26:K28"/>
    <mergeCell ref="L26:L28"/>
    <mergeCell ref="D86:D87"/>
    <mergeCell ref="B114:I115"/>
    <mergeCell ref="F26:F28"/>
    <mergeCell ref="G26:G28"/>
    <mergeCell ref="H26:H28"/>
    <mergeCell ref="I26:I28"/>
  </mergeCells>
  <phoneticPr fontId="0" type="noConversion"/>
  <hyperlinks>
    <hyperlink ref="B113" r:id="rId1" xr:uid="{00000000-0004-0000-0400-000000000000}"/>
  </hyperlinks>
  <pageMargins left="0.37" right="0" top="0.26" bottom="0" header="0.16" footer="0.17"/>
  <pageSetup paperSize="9" scale="48" orientation="portrait" horizontalDpi="4294967292" verticalDpi="180" r:id="rId2"/>
  <headerFooter alignWithMargins="0">
    <oddHeader>&amp;R&amp;8&amp;F &amp;D T4 Bd/Beratung</oddHead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2" r:id="rId5" name="Button 38">
              <controlPr defaultSize="0" print="0" autoFill="0" autoPict="0" macro="[0]!Wyniki_2">
                <anchor moveWithCells="1" sizeWithCells="1">
                  <from>
                    <xdr:col>1</xdr:col>
                    <xdr:colOff>76200</xdr:colOff>
                    <xdr:row>0</xdr:row>
                    <xdr:rowOff>106680</xdr:rowOff>
                  </from>
                  <to>
                    <xdr:col>1</xdr:col>
                    <xdr:colOff>1546860</xdr:colOff>
                    <xdr:row>2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6" name="Button 41">
              <controlPr defaultSize="0" print="0" autoFill="0" autoPict="0" macro="[0]!Wyniki_2">
                <anchor moveWithCells="1" sizeWithCells="1">
                  <from>
                    <xdr:col>0</xdr:col>
                    <xdr:colOff>381000</xdr:colOff>
                    <xdr:row>103</xdr:row>
                    <xdr:rowOff>106680</xdr:rowOff>
                  </from>
                  <to>
                    <xdr:col>1</xdr:col>
                    <xdr:colOff>1455420</xdr:colOff>
                    <xdr:row>109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/>
  <dimension ref="A1:S68"/>
  <sheetViews>
    <sheetView showZeros="0" zoomScale="75" zoomScaleNormal="75" workbookViewId="0">
      <selection activeCell="K42" sqref="K42"/>
    </sheetView>
  </sheetViews>
  <sheetFormatPr defaultRowHeight="12.3" x14ac:dyDescent="0.4"/>
  <cols>
    <col min="1" max="16384" width="8.88671875" style="131"/>
  </cols>
  <sheetData>
    <row r="1" spans="1:4" ht="19.5" thickBot="1" x14ac:dyDescent="0.75">
      <c r="A1" s="194" t="s">
        <v>157</v>
      </c>
      <c r="B1" s="194"/>
      <c r="C1" s="194"/>
      <c r="D1" s="194"/>
    </row>
    <row r="2" spans="1:4" ht="12.6" thickTop="1" x14ac:dyDescent="0.4"/>
    <row r="5" spans="1:4" x14ac:dyDescent="0.4">
      <c r="A5" s="133" t="s">
        <v>182</v>
      </c>
    </row>
    <row r="42" ht="13.2" customHeight="1" x14ac:dyDescent="0.4"/>
    <row r="43" ht="13.2" customHeight="1" x14ac:dyDescent="0.4"/>
    <row r="65" spans="1:19" ht="12.9" x14ac:dyDescent="0.5">
      <c r="A65" s="126" t="s">
        <v>92</v>
      </c>
      <c r="B65"/>
      <c r="C65"/>
      <c r="D65"/>
      <c r="E65"/>
      <c r="F65"/>
      <c r="G65"/>
      <c r="H65"/>
      <c r="I65" s="4"/>
      <c r="J65" s="4"/>
      <c r="K65" s="4"/>
    </row>
    <row r="66" spans="1:19" ht="12.9" x14ac:dyDescent="0.5">
      <c r="A66" s="127" t="s">
        <v>66</v>
      </c>
      <c r="B66"/>
      <c r="C66"/>
      <c r="D66"/>
      <c r="E66"/>
      <c r="F66"/>
      <c r="G66"/>
      <c r="H66"/>
      <c r="I66" s="4"/>
      <c r="J66" s="4"/>
      <c r="K66" s="4"/>
    </row>
    <row r="67" spans="1:19" x14ac:dyDescent="0.4">
      <c r="A67" s="280" t="s">
        <v>134</v>
      </c>
      <c r="B67" s="280"/>
      <c r="C67" s="280"/>
      <c r="D67" s="280"/>
      <c r="E67" s="280"/>
      <c r="F67" s="280"/>
      <c r="G67" s="280"/>
      <c r="H67" s="280"/>
      <c r="I67" s="280"/>
      <c r="J67" s="280"/>
      <c r="K67" s="280"/>
      <c r="L67" s="280"/>
      <c r="M67" s="280"/>
      <c r="N67" s="280"/>
      <c r="O67" s="280"/>
      <c r="P67" s="280"/>
      <c r="Q67" s="280"/>
      <c r="R67" s="280"/>
      <c r="S67" s="280"/>
    </row>
    <row r="68" spans="1:19" x14ac:dyDescent="0.4">
      <c r="A68" s="280"/>
      <c r="B68" s="280"/>
      <c r="C68" s="280"/>
      <c r="D68" s="280"/>
      <c r="E68" s="280"/>
      <c r="F68" s="280"/>
      <c r="G68" s="280"/>
      <c r="H68" s="280"/>
      <c r="I68" s="280"/>
      <c r="J68" s="280"/>
      <c r="K68" s="280"/>
      <c r="L68" s="280"/>
      <c r="M68" s="280"/>
      <c r="N68" s="280"/>
      <c r="O68" s="280"/>
      <c r="P68" s="280"/>
      <c r="Q68" s="280"/>
      <c r="R68" s="280"/>
      <c r="S68" s="280"/>
    </row>
  </sheetData>
  <mergeCells count="1">
    <mergeCell ref="A67:S68"/>
  </mergeCells>
  <phoneticPr fontId="5" type="noConversion"/>
  <hyperlinks>
    <hyperlink ref="A66" r:id="rId1" xr:uid="{00000000-0004-0000-0500-000000000000}"/>
  </hyperlinks>
  <pageMargins left="0.16" right="0.2" top="1" bottom="1" header="0.5" footer="0.5"/>
  <pageSetup paperSize="9" scale="70" orientation="landscape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83" r:id="rId5" name="Button 11">
              <controlPr defaultSize="0" print="0" autoFill="0" autoPict="0" macro="[0]!Start2">
                <anchor moveWithCells="1" sizeWithCells="1">
                  <from>
                    <xdr:col>2</xdr:col>
                    <xdr:colOff>60960</xdr:colOff>
                    <xdr:row>1</xdr:row>
                    <xdr:rowOff>110490</xdr:rowOff>
                  </from>
                  <to>
                    <xdr:col>3</xdr:col>
                    <xdr:colOff>441960</xdr:colOff>
                    <xdr:row>3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434" r:id="rId6" name="Button 1298">
              <controlPr defaultSize="0" print="0" autoFill="0" autoPict="0" macro="[0]!Przycisk1298_Kliknięcie">
                <anchor moveWithCells="1" sizeWithCells="1">
                  <from>
                    <xdr:col>0</xdr:col>
                    <xdr:colOff>106680</xdr:colOff>
                    <xdr:row>1</xdr:row>
                    <xdr:rowOff>175260</xdr:rowOff>
                  </from>
                  <to>
                    <xdr:col>2</xdr:col>
                    <xdr:colOff>15240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805" r:id="rId7" name="Button 1669">
              <controlPr defaultSize="0" print="0" autoFill="0" autoPict="0" macro="[0]!Przycisk178_Kliknięcie">
                <anchor moveWithCells="1" sizeWithCells="1">
                  <from>
                    <xdr:col>3</xdr:col>
                    <xdr:colOff>472440</xdr:colOff>
                    <xdr:row>1</xdr:row>
                    <xdr:rowOff>152400</xdr:rowOff>
                  </from>
                  <to>
                    <xdr:col>5</xdr:col>
                    <xdr:colOff>228600</xdr:colOff>
                    <xdr:row>3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806" r:id="rId8" name="Button 1670">
              <controlPr defaultSize="0" print="0" autoFill="0" autoPict="0" macro="[0]!Przycisk86_Kliknięcie">
                <anchor moveWithCells="1" sizeWithCells="1">
                  <from>
                    <xdr:col>5</xdr:col>
                    <xdr:colOff>281940</xdr:colOff>
                    <xdr:row>1</xdr:row>
                    <xdr:rowOff>152400</xdr:rowOff>
                  </from>
                  <to>
                    <xdr:col>7</xdr:col>
                    <xdr:colOff>45720</xdr:colOff>
                    <xdr:row>3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96807" r:id="rId9" name="Button 1671">
              <controlPr defaultSize="0" print="0" autoFill="0" autoPict="0" macro="[0]!Przycisk177_Kliknięcie">
                <anchor moveWithCells="1" sizeWithCells="1">
                  <from>
                    <xdr:col>7</xdr:col>
                    <xdr:colOff>76200</xdr:colOff>
                    <xdr:row>1</xdr:row>
                    <xdr:rowOff>137160</xdr:rowOff>
                  </from>
                  <to>
                    <xdr:col>8</xdr:col>
                    <xdr:colOff>438150</xdr:colOff>
                    <xdr:row>3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/>
  <dimension ref="A1:S36"/>
  <sheetViews>
    <sheetView showGridLines="0" showRowColHeaders="0" showZeros="0" topLeftCell="A2" workbookViewId="0">
      <selection activeCell="B11" sqref="B11"/>
    </sheetView>
  </sheetViews>
  <sheetFormatPr defaultRowHeight="12.3" x14ac:dyDescent="0.4"/>
  <cols>
    <col min="1" max="16384" width="8.88671875" style="131"/>
  </cols>
  <sheetData>
    <row r="1" spans="1:6" ht="17.100000000000001" thickBot="1" x14ac:dyDescent="0.7">
      <c r="A1" s="225" t="s">
        <v>171</v>
      </c>
      <c r="B1" s="224"/>
      <c r="C1" s="224"/>
      <c r="D1" s="224"/>
      <c r="E1" s="224"/>
      <c r="F1" s="224"/>
    </row>
    <row r="2" spans="1:6" ht="12.6" thickTop="1" x14ac:dyDescent="0.4"/>
    <row r="33" spans="1:19" ht="12.9" x14ac:dyDescent="0.5">
      <c r="A33" s="126" t="s">
        <v>92</v>
      </c>
      <c r="B33"/>
      <c r="C33"/>
      <c r="D33"/>
      <c r="E33"/>
      <c r="F33"/>
      <c r="G33"/>
      <c r="H33"/>
      <c r="I33" s="4"/>
      <c r="J33" s="4"/>
      <c r="K33" s="4"/>
    </row>
    <row r="34" spans="1:19" ht="12.9" x14ac:dyDescent="0.5">
      <c r="A34" s="127" t="s">
        <v>66</v>
      </c>
      <c r="B34"/>
      <c r="C34"/>
      <c r="D34"/>
      <c r="E34"/>
      <c r="F34"/>
      <c r="G34"/>
      <c r="H34"/>
      <c r="I34" s="4"/>
      <c r="J34" s="4"/>
      <c r="K34" s="4"/>
    </row>
    <row r="35" spans="1:19" x14ac:dyDescent="0.4">
      <c r="A35" s="280" t="s">
        <v>134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</row>
    <row r="36" spans="1:19" x14ac:dyDescent="0.4">
      <c r="A36" s="280"/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</row>
  </sheetData>
  <mergeCells count="1">
    <mergeCell ref="A35:S36"/>
  </mergeCells>
  <hyperlinks>
    <hyperlink ref="A34" r:id="rId1" xr:uid="{00000000-0004-0000-0600-000000000000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5585" r:id="rId5" name="Button 1">
              <controlPr defaultSize="0" print="0" autoFill="0" autoPict="0" macro="[0]!Wyniki">
                <anchor moveWithCells="1" sizeWithCells="1">
                  <from>
                    <xdr:col>0</xdr:col>
                    <xdr:colOff>167640</xdr:colOff>
                    <xdr:row>3</xdr:row>
                    <xdr:rowOff>137160</xdr:rowOff>
                  </from>
                  <to>
                    <xdr:col>2</xdr:col>
                    <xdr:colOff>137160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586" r:id="rId6" name="Button 2">
              <controlPr defaultSize="0" print="0" autoFill="0" autoPict="0" macro="[0]!Start2">
                <anchor moveWithCells="1" sizeWithCells="1">
                  <from>
                    <xdr:col>0</xdr:col>
                    <xdr:colOff>175260</xdr:colOff>
                    <xdr:row>5</xdr:row>
                    <xdr:rowOff>60960</xdr:rowOff>
                  </from>
                  <to>
                    <xdr:col>2</xdr:col>
                    <xdr:colOff>129540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683" r:id="rId7" name="Button 99">
              <controlPr defaultSize="0" print="0" autoFill="0" autoPict="0" macro="[0]!Przycisk99_Kliknięcie">
                <anchor moveWithCells="1" sizeWithCells="1">
                  <from>
                    <xdr:col>0</xdr:col>
                    <xdr:colOff>182880</xdr:colOff>
                    <xdr:row>2</xdr:row>
                    <xdr:rowOff>7620</xdr:rowOff>
                  </from>
                  <to>
                    <xdr:col>2</xdr:col>
                    <xdr:colOff>121920</xdr:colOff>
                    <xdr:row>3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684" r:id="rId8" name="Button 100">
              <controlPr defaultSize="0" print="0" autoFill="0" autoPict="0" macro="[0]!Przycisk99_Kliknięcie">
                <anchor moveWithCells="1" sizeWithCells="1">
                  <from>
                    <xdr:col>0</xdr:col>
                    <xdr:colOff>182880</xdr:colOff>
                    <xdr:row>6</xdr:row>
                    <xdr:rowOff>137160</xdr:rowOff>
                  </from>
                  <to>
                    <xdr:col>2</xdr:col>
                    <xdr:colOff>121920</xdr:colOff>
                    <xdr:row>8</xdr:row>
                    <xdr:rowOff>80010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5"/>
  <dimension ref="A1:T37"/>
  <sheetViews>
    <sheetView showGridLines="0" showRowColHeaders="0" showZeros="0" workbookViewId="0">
      <selection activeCell="B16" sqref="B16"/>
    </sheetView>
  </sheetViews>
  <sheetFormatPr defaultRowHeight="12.3" x14ac:dyDescent="0.4"/>
  <cols>
    <col min="1" max="16384" width="8.88671875" style="131"/>
  </cols>
  <sheetData>
    <row r="1" spans="1:7" ht="17.100000000000001" thickBot="1" x14ac:dyDescent="0.7">
      <c r="A1" s="225" t="s">
        <v>172</v>
      </c>
      <c r="B1" s="224"/>
      <c r="C1" s="224"/>
      <c r="D1" s="224"/>
      <c r="E1" s="224"/>
      <c r="F1" s="224"/>
      <c r="G1" s="224"/>
    </row>
    <row r="2" spans="1:7" ht="12.6" thickTop="1" x14ac:dyDescent="0.4"/>
    <row r="34" spans="2:20" ht="12.9" x14ac:dyDescent="0.5">
      <c r="B34" s="126" t="s">
        <v>92</v>
      </c>
      <c r="C34"/>
      <c r="D34"/>
      <c r="E34"/>
      <c r="F34"/>
      <c r="G34"/>
      <c r="H34"/>
      <c r="I34"/>
      <c r="J34" s="4"/>
      <c r="K34" s="4"/>
      <c r="L34" s="4"/>
    </row>
    <row r="35" spans="2:20" ht="12.9" x14ac:dyDescent="0.5">
      <c r="B35" s="127" t="s">
        <v>66</v>
      </c>
      <c r="C35"/>
      <c r="D35"/>
      <c r="E35"/>
      <c r="F35"/>
      <c r="G35"/>
      <c r="H35"/>
      <c r="I35"/>
      <c r="J35" s="4"/>
      <c r="K35" s="4"/>
      <c r="L35" s="4"/>
    </row>
    <row r="36" spans="2:20" x14ac:dyDescent="0.4">
      <c r="B36" s="280" t="s">
        <v>158</v>
      </c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</row>
    <row r="37" spans="2:20" x14ac:dyDescent="0.4"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</row>
  </sheetData>
  <mergeCells count="1">
    <mergeCell ref="B36:T37"/>
  </mergeCells>
  <hyperlinks>
    <hyperlink ref="B35" r:id="rId1" xr:uid="{00000000-0004-0000-0700-000000000000}"/>
  </hyperlinks>
  <pageMargins left="0.7" right="0.7" top="0.75" bottom="0.75" header="0.3" footer="0.3"/>
  <pageSetup paperSize="9"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6609" r:id="rId5" name="Button 1">
              <controlPr defaultSize="0" print="0" autoFill="0" autoPict="0" macro="[0]!Wyniki">
                <anchor moveWithCells="1" sizeWithCells="1">
                  <from>
                    <xdr:col>0</xdr:col>
                    <xdr:colOff>274320</xdr:colOff>
                    <xdr:row>3</xdr:row>
                    <xdr:rowOff>121920</xdr:rowOff>
                  </from>
                  <to>
                    <xdr:col>2</xdr:col>
                    <xdr:colOff>220980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610" r:id="rId6" name="Button 2">
              <controlPr defaultSize="0" print="0" autoFill="0" autoPict="0" macro="[0]!Start2">
                <anchor moveWithCells="1" sizeWithCells="1">
                  <from>
                    <xdr:col>0</xdr:col>
                    <xdr:colOff>274320</xdr:colOff>
                    <xdr:row>5</xdr:row>
                    <xdr:rowOff>60960</xdr:rowOff>
                  </from>
                  <to>
                    <xdr:col>2</xdr:col>
                    <xdr:colOff>228600</xdr:colOff>
                    <xdr:row>6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743" r:id="rId7" name="Button 135">
              <controlPr defaultSize="0" print="0" autoFill="0" autoPict="0" macro="[0]!Przycisk1491_Kliknięcie">
                <anchor moveWithCells="1" sizeWithCells="1">
                  <from>
                    <xdr:col>0</xdr:col>
                    <xdr:colOff>274320</xdr:colOff>
                    <xdr:row>2</xdr:row>
                    <xdr:rowOff>15240</xdr:rowOff>
                  </from>
                  <to>
                    <xdr:col>2</xdr:col>
                    <xdr:colOff>213360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744" r:id="rId8" name="Button 136">
              <controlPr defaultSize="0" print="0" autoFill="0" autoPict="0" macro="[0]!Przycisk1491_Kliknięcie">
                <anchor moveWithCells="1" sizeWithCells="1">
                  <from>
                    <xdr:col>0</xdr:col>
                    <xdr:colOff>274320</xdr:colOff>
                    <xdr:row>6</xdr:row>
                    <xdr:rowOff>140970</xdr:rowOff>
                  </from>
                  <to>
                    <xdr:col>2</xdr:col>
                    <xdr:colOff>213360</xdr:colOff>
                    <xdr:row>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745" r:id="rId9" name="Button 137">
              <controlPr defaultSize="0" print="0" autoFill="0" autoPict="0" macro="[0]!Przycisk1298_Kliknięcie">
                <anchor moveWithCells="1" sizeWithCells="1">
                  <from>
                    <xdr:col>0</xdr:col>
                    <xdr:colOff>251460</xdr:colOff>
                    <xdr:row>8</xdr:row>
                    <xdr:rowOff>80010</xdr:rowOff>
                  </from>
                  <to>
                    <xdr:col>2</xdr:col>
                    <xdr:colOff>213360</xdr:colOff>
                    <xdr:row>10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7"/>
  <dimension ref="A1:T35"/>
  <sheetViews>
    <sheetView showGridLines="0" showRowColHeaders="0" showZeros="0" workbookViewId="0">
      <selection activeCell="A12" sqref="A12"/>
    </sheetView>
  </sheetViews>
  <sheetFormatPr defaultRowHeight="12.3" x14ac:dyDescent="0.4"/>
  <cols>
    <col min="1" max="16384" width="8.88671875" style="131"/>
  </cols>
  <sheetData>
    <row r="1" spans="1:7" ht="17.100000000000001" thickBot="1" x14ac:dyDescent="0.7">
      <c r="A1" s="225" t="s">
        <v>172</v>
      </c>
      <c r="B1" s="224"/>
      <c r="C1" s="224"/>
      <c r="D1" s="224"/>
      <c r="E1" s="224"/>
      <c r="F1" s="224"/>
      <c r="G1" s="224"/>
    </row>
    <row r="2" spans="1:7" ht="12.6" thickTop="1" x14ac:dyDescent="0.4"/>
    <row r="32" spans="2:12" ht="12.9" x14ac:dyDescent="0.5">
      <c r="B32" s="126" t="s">
        <v>92</v>
      </c>
      <c r="C32"/>
      <c r="D32"/>
      <c r="E32"/>
      <c r="F32"/>
      <c r="G32"/>
      <c r="H32"/>
      <c r="I32"/>
      <c r="J32" s="4"/>
      <c r="K32" s="4"/>
      <c r="L32" s="4"/>
    </row>
    <row r="33" spans="2:20" ht="12.9" x14ac:dyDescent="0.5">
      <c r="B33" s="127" t="s">
        <v>66</v>
      </c>
      <c r="C33"/>
      <c r="D33"/>
      <c r="E33"/>
      <c r="F33"/>
      <c r="G33"/>
      <c r="H33"/>
      <c r="I33"/>
      <c r="J33" s="4"/>
      <c r="K33" s="4"/>
      <c r="L33" s="4"/>
    </row>
    <row r="34" spans="2:20" x14ac:dyDescent="0.4">
      <c r="B34" s="280" t="s">
        <v>134</v>
      </c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</row>
    <row r="35" spans="2:20" x14ac:dyDescent="0.4"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</row>
  </sheetData>
  <mergeCells count="1">
    <mergeCell ref="B34:T35"/>
  </mergeCells>
  <hyperlinks>
    <hyperlink ref="B33" r:id="rId1" xr:uid="{00000000-0004-0000-0800-00000000000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8657" r:id="rId4" name="Button 1">
              <controlPr defaultSize="0" print="0" autoFill="0" autoPict="0" macro="[0]!Wyniki">
                <anchor moveWithCells="1" sizeWithCells="1">
                  <from>
                    <xdr:col>0</xdr:col>
                    <xdr:colOff>182880</xdr:colOff>
                    <xdr:row>4</xdr:row>
                    <xdr:rowOff>7620</xdr:rowOff>
                  </from>
                  <to>
                    <xdr:col>2</xdr:col>
                    <xdr:colOff>129540</xdr:colOff>
                    <xdr:row>5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658" r:id="rId5" name="Button 2">
              <controlPr defaultSize="0" print="0" autoFill="0" autoPict="0" macro="[0]!Start2">
                <anchor moveWithCells="1" sizeWithCells="1">
                  <from>
                    <xdr:col>0</xdr:col>
                    <xdr:colOff>190500</xdr:colOff>
                    <xdr:row>5</xdr:row>
                    <xdr:rowOff>144780</xdr:rowOff>
                  </from>
                  <to>
                    <xdr:col>2</xdr:col>
                    <xdr:colOff>129540</xdr:colOff>
                    <xdr:row>7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758" r:id="rId6" name="Button 102">
              <controlPr defaultSize="0" print="0" autoFill="0" autoPict="0" macro="[0]!Przycisk102_Kliknięcie">
                <anchor moveWithCells="1" sizeWithCells="1">
                  <from>
                    <xdr:col>0</xdr:col>
                    <xdr:colOff>198120</xdr:colOff>
                    <xdr:row>2</xdr:row>
                    <xdr:rowOff>30480</xdr:rowOff>
                  </from>
                  <to>
                    <xdr:col>2</xdr:col>
                    <xdr:colOff>106680</xdr:colOff>
                    <xdr:row>3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759" r:id="rId7" name="Button 103">
              <controlPr defaultSize="0" print="0" autoFill="0" autoPict="0" macro="[0]!Przycisk102_Kliknięcie">
                <anchor moveWithCells="1" sizeWithCells="1">
                  <from>
                    <xdr:col>0</xdr:col>
                    <xdr:colOff>198120</xdr:colOff>
                    <xdr:row>7</xdr:row>
                    <xdr:rowOff>99060</xdr:rowOff>
                  </from>
                  <to>
                    <xdr:col>2</xdr:col>
                    <xdr:colOff>106680</xdr:colOff>
                    <xdr:row>9</xdr:row>
                    <xdr:rowOff>11430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760" r:id="rId8" name="Button 104">
              <controlPr defaultSize="0" print="0" autoFill="0" autoPict="0" macro="[0]!Przycisk99_Kliknięcie">
                <anchor moveWithCells="1" sizeWithCells="1">
                  <from>
                    <xdr:col>0</xdr:col>
                    <xdr:colOff>182880</xdr:colOff>
                    <xdr:row>9</xdr:row>
                    <xdr:rowOff>49530</xdr:rowOff>
                  </from>
                  <to>
                    <xdr:col>2</xdr:col>
                    <xdr:colOff>121920</xdr:colOff>
                    <xdr:row>10</xdr:row>
                    <xdr:rowOff>148590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3"/>
  <dimension ref="A1:T37"/>
  <sheetViews>
    <sheetView showGridLines="0" showRowColHeaders="0" showZeros="0" workbookViewId="0">
      <selection activeCell="B12" sqref="B12"/>
    </sheetView>
  </sheetViews>
  <sheetFormatPr defaultRowHeight="12.3" x14ac:dyDescent="0.4"/>
  <cols>
    <col min="1" max="16384" width="8.88671875" style="131"/>
  </cols>
  <sheetData>
    <row r="1" spans="1:7" ht="17.100000000000001" thickBot="1" x14ac:dyDescent="0.7">
      <c r="A1" s="225" t="s">
        <v>172</v>
      </c>
      <c r="B1" s="224"/>
      <c r="C1" s="224"/>
      <c r="D1" s="224"/>
      <c r="E1" s="224"/>
      <c r="F1" s="224"/>
      <c r="G1" s="224"/>
    </row>
    <row r="2" spans="1:7" ht="12.6" thickTop="1" x14ac:dyDescent="0.4"/>
    <row r="34" spans="2:20" ht="12.9" x14ac:dyDescent="0.5">
      <c r="B34" s="126" t="s">
        <v>92</v>
      </c>
      <c r="C34"/>
      <c r="D34"/>
      <c r="E34"/>
      <c r="F34"/>
      <c r="G34"/>
      <c r="H34"/>
      <c r="I34"/>
      <c r="J34" s="4"/>
      <c r="K34" s="4"/>
      <c r="L34" s="4"/>
    </row>
    <row r="35" spans="2:20" ht="12.9" x14ac:dyDescent="0.5">
      <c r="B35" s="127" t="s">
        <v>66</v>
      </c>
      <c r="C35"/>
      <c r="D35"/>
      <c r="E35"/>
      <c r="F35"/>
      <c r="G35"/>
      <c r="H35"/>
      <c r="I35"/>
      <c r="J35" s="4"/>
      <c r="K35" s="4"/>
      <c r="L35" s="4"/>
    </row>
    <row r="36" spans="2:20" x14ac:dyDescent="0.4">
      <c r="B36" s="308" t="s">
        <v>134</v>
      </c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8"/>
      <c r="T36" s="308"/>
    </row>
    <row r="37" spans="2:20" x14ac:dyDescent="0.4"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8"/>
      <c r="T37" s="308"/>
    </row>
  </sheetData>
  <mergeCells count="1">
    <mergeCell ref="B36:T37"/>
  </mergeCells>
  <hyperlinks>
    <hyperlink ref="B35" r:id="rId1" xr:uid="{00000000-0004-0000-0900-00000000000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38593" r:id="rId4" name="Button 1">
              <controlPr defaultSize="0" print="0" autoFill="0" autoPict="0" macro="[0]!Wyniki">
                <anchor moveWithCells="1" sizeWithCells="1">
                  <from>
                    <xdr:col>0</xdr:col>
                    <xdr:colOff>320040</xdr:colOff>
                    <xdr:row>3</xdr:row>
                    <xdr:rowOff>83820</xdr:rowOff>
                  </from>
                  <to>
                    <xdr:col>2</xdr:col>
                    <xdr:colOff>266700</xdr:colOff>
                    <xdr:row>4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594" r:id="rId5" name="Button 2">
              <controlPr defaultSize="0" print="0" autoFill="0" autoPict="0" macro="[0]!Start2">
                <anchor moveWithCells="1" sizeWithCells="1">
                  <from>
                    <xdr:col>0</xdr:col>
                    <xdr:colOff>320040</xdr:colOff>
                    <xdr:row>5</xdr:row>
                    <xdr:rowOff>15240</xdr:rowOff>
                  </from>
                  <to>
                    <xdr:col>2</xdr:col>
                    <xdr:colOff>274320</xdr:colOff>
                    <xdr:row>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628" r:id="rId6" name="Button 36">
              <controlPr defaultSize="0" print="0" autoFill="0" autoPict="0" macro="[0]!Przycisk100_Kliknięcie">
                <anchor moveWithCells="1" sizeWithCells="1">
                  <from>
                    <xdr:col>0</xdr:col>
                    <xdr:colOff>335280</xdr:colOff>
                    <xdr:row>1</xdr:row>
                    <xdr:rowOff>167640</xdr:rowOff>
                  </from>
                  <to>
                    <xdr:col>2</xdr:col>
                    <xdr:colOff>259080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629" r:id="rId7" name="Button 37">
              <controlPr defaultSize="0" print="0" autoFill="0" autoPict="0" macro="[0]!Przycisk100_Kliknięcie">
                <anchor moveWithCells="1" sizeWithCells="1">
                  <from>
                    <xdr:col>0</xdr:col>
                    <xdr:colOff>335280</xdr:colOff>
                    <xdr:row>6</xdr:row>
                    <xdr:rowOff>99060</xdr:rowOff>
                  </from>
                  <to>
                    <xdr:col>2</xdr:col>
                    <xdr:colOff>259080</xdr:colOff>
                    <xdr:row>7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630" r:id="rId8" name="Button 38">
              <controlPr defaultSize="0" print="0" autoFill="0" autoPict="0" macro="[0]!Przycisk1491_Kliknięcie">
                <anchor moveWithCells="1" sizeWithCells="1">
                  <from>
                    <xdr:col>0</xdr:col>
                    <xdr:colOff>327660</xdr:colOff>
                    <xdr:row>8</xdr:row>
                    <xdr:rowOff>30480</xdr:rowOff>
                  </from>
                  <to>
                    <xdr:col>2</xdr:col>
                    <xdr:colOff>266700</xdr:colOff>
                    <xdr:row>9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6"/>
  <dimension ref="A1:T36"/>
  <sheetViews>
    <sheetView showGridLines="0" showRowColHeaders="0" showZeros="0" workbookViewId="0">
      <selection activeCell="B13" sqref="B13"/>
    </sheetView>
  </sheetViews>
  <sheetFormatPr defaultRowHeight="12.3" x14ac:dyDescent="0.4"/>
  <cols>
    <col min="1" max="16384" width="8.88671875" style="131"/>
  </cols>
  <sheetData>
    <row r="1" spans="1:7" ht="17.100000000000001" thickBot="1" x14ac:dyDescent="0.7">
      <c r="A1" s="225" t="s">
        <v>183</v>
      </c>
      <c r="B1" s="224"/>
      <c r="C1" s="224"/>
      <c r="D1" s="224"/>
      <c r="E1" s="224"/>
      <c r="F1" s="224"/>
      <c r="G1" s="224"/>
    </row>
    <row r="2" spans="1:7" ht="12.6" thickTop="1" x14ac:dyDescent="0.4"/>
    <row r="33" spans="2:20" ht="12.9" x14ac:dyDescent="0.5">
      <c r="B33" s="126" t="s">
        <v>92</v>
      </c>
      <c r="C33"/>
      <c r="D33"/>
      <c r="E33"/>
      <c r="F33"/>
      <c r="G33"/>
      <c r="H33"/>
      <c r="I33"/>
      <c r="J33" s="4"/>
      <c r="K33" s="4"/>
      <c r="L33" s="4"/>
    </row>
    <row r="34" spans="2:20" ht="12.9" x14ac:dyDescent="0.5">
      <c r="B34" s="127" t="s">
        <v>66</v>
      </c>
      <c r="C34"/>
      <c r="D34"/>
      <c r="E34"/>
      <c r="F34"/>
      <c r="G34"/>
      <c r="H34"/>
      <c r="I34"/>
      <c r="J34" s="4"/>
      <c r="K34" s="4"/>
      <c r="L34" s="4"/>
    </row>
    <row r="35" spans="2:20" x14ac:dyDescent="0.4">
      <c r="B35" s="280" t="s">
        <v>134</v>
      </c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</row>
    <row r="36" spans="2:20" x14ac:dyDescent="0.4"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</row>
  </sheetData>
  <mergeCells count="1">
    <mergeCell ref="B35:T36"/>
  </mergeCells>
  <hyperlinks>
    <hyperlink ref="B34" r:id="rId1" xr:uid="{00000000-0004-0000-0A00-00000000000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7633" r:id="rId4" name="Button 1">
              <controlPr defaultSize="0" print="0" autoFill="0" autoPict="0" macro="[0]!Wyniki">
                <anchor moveWithCells="1" sizeWithCells="1">
                  <from>
                    <xdr:col>0</xdr:col>
                    <xdr:colOff>335280</xdr:colOff>
                    <xdr:row>5</xdr:row>
                    <xdr:rowOff>118110</xdr:rowOff>
                  </from>
                  <to>
                    <xdr:col>2</xdr:col>
                    <xdr:colOff>281940</xdr:colOff>
                    <xdr:row>7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634" r:id="rId5" name="Button 2">
              <controlPr defaultSize="0" print="0" autoFill="0" autoPict="0" macro="[0]!Start2">
                <anchor moveWithCells="1" sizeWithCells="1">
                  <from>
                    <xdr:col>0</xdr:col>
                    <xdr:colOff>327660</xdr:colOff>
                    <xdr:row>4</xdr:row>
                    <xdr:rowOff>30480</xdr:rowOff>
                  </from>
                  <to>
                    <xdr:col>2</xdr:col>
                    <xdr:colOff>281940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732" r:id="rId6" name="Button 100">
              <controlPr defaultSize="0" print="0" autoFill="0" autoPict="0" macro="[0]!Kosztyeksploatacji_Przycisk100_Kliknięcie">
                <anchor moveWithCells="1" sizeWithCells="1">
                  <from>
                    <xdr:col>0</xdr:col>
                    <xdr:colOff>342900</xdr:colOff>
                    <xdr:row>2</xdr:row>
                    <xdr:rowOff>45720</xdr:rowOff>
                  </from>
                  <to>
                    <xdr:col>2</xdr:col>
                    <xdr:colOff>281940</xdr:colOff>
                    <xdr:row>3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733" r:id="rId7" name="Button 101">
              <controlPr defaultSize="0" print="0" autoFill="0" autoPict="0" macro="[0]!Kosztyeksploatacji_Przycisk100_Kliknięcie">
                <anchor moveWithCells="1" sizeWithCells="1">
                  <from>
                    <xdr:col>0</xdr:col>
                    <xdr:colOff>335280</xdr:colOff>
                    <xdr:row>7</xdr:row>
                    <xdr:rowOff>53340</xdr:rowOff>
                  </from>
                  <to>
                    <xdr:col>2</xdr:col>
                    <xdr:colOff>274320</xdr:colOff>
                    <xdr:row>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734" r:id="rId8" name="Button 102">
              <controlPr defaultSize="0" print="0" autoFill="0" autoPict="0" macro="[0]!Przycisk102_Kliknięcie">
                <anchor moveWithCells="1" sizeWithCells="1">
                  <from>
                    <xdr:col>0</xdr:col>
                    <xdr:colOff>327660</xdr:colOff>
                    <xdr:row>9</xdr:row>
                    <xdr:rowOff>7620</xdr:rowOff>
                  </from>
                  <to>
                    <xdr:col>2</xdr:col>
                    <xdr:colOff>281940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2"/>
  <dimension ref="A1:S241"/>
  <sheetViews>
    <sheetView showZeros="0" workbookViewId="0">
      <selection activeCell="A4" sqref="A4"/>
    </sheetView>
  </sheetViews>
  <sheetFormatPr defaultRowHeight="12.3" x14ac:dyDescent="0.4"/>
  <cols>
    <col min="1" max="1" width="51.44140625" style="132" customWidth="1"/>
    <col min="2" max="6" width="10.88671875" style="132" bestFit="1" customWidth="1"/>
    <col min="7" max="7" width="11.5546875" style="132" bestFit="1" customWidth="1"/>
    <col min="8" max="8" width="10.88671875" style="132" bestFit="1" customWidth="1"/>
    <col min="9" max="16384" width="8.88671875" style="132"/>
  </cols>
  <sheetData>
    <row r="1" spans="1:1" ht="17.100000000000001" thickBot="1" x14ac:dyDescent="0.7">
      <c r="A1" s="225" t="s">
        <v>173</v>
      </c>
    </row>
    <row r="2" spans="1:1" ht="12.6" thickTop="1" x14ac:dyDescent="0.4"/>
    <row r="8" spans="1:1" x14ac:dyDescent="0.4">
      <c r="A8" s="309" t="str">
        <f>CONCATENATE(B35,F35,G35)</f>
        <v xml:space="preserve"> Założony koszt pompy ciepła typu P/W z montażem (wariant F) wynosi 28 tys. PLN</v>
      </c>
    </row>
    <row r="9" spans="1:1" x14ac:dyDescent="0.4">
      <c r="A9" s="309"/>
    </row>
    <row r="35" spans="1:19" x14ac:dyDescent="0.4">
      <c r="B35" s="239" t="s">
        <v>176</v>
      </c>
      <c r="C35" s="239"/>
      <c r="D35" s="239"/>
      <c r="E35" s="239"/>
      <c r="F35" s="240">
        <f>ROUND('Dane koszty inwestycyjne 3'!K20/1000,1)</f>
        <v>28</v>
      </c>
      <c r="G35" s="239" t="s">
        <v>175</v>
      </c>
      <c r="H35" s="134"/>
      <c r="I35" s="134"/>
    </row>
    <row r="36" spans="1:19" x14ac:dyDescent="0.4">
      <c r="A36" s="134"/>
      <c r="B36" s="239"/>
      <c r="C36" s="239"/>
      <c r="D36" s="239"/>
      <c r="E36" s="239"/>
      <c r="F36" s="239"/>
      <c r="G36" s="239"/>
      <c r="H36" s="134"/>
      <c r="I36" s="134"/>
    </row>
    <row r="37" spans="1:19" x14ac:dyDescent="0.4">
      <c r="A37" s="134"/>
      <c r="B37" s="134"/>
      <c r="C37" s="134"/>
      <c r="D37" s="134"/>
      <c r="E37" s="134"/>
      <c r="F37" s="134"/>
      <c r="G37" s="134"/>
      <c r="H37" s="134"/>
      <c r="I37" s="134"/>
    </row>
    <row r="38" spans="1:19" ht="12.9" x14ac:dyDescent="0.5">
      <c r="A38" s="126" t="s">
        <v>92</v>
      </c>
      <c r="B38"/>
      <c r="C38"/>
      <c r="D38"/>
      <c r="E38"/>
      <c r="F38"/>
      <c r="G38"/>
      <c r="H38"/>
      <c r="I38" s="4"/>
      <c r="J38" s="4"/>
      <c r="K38" s="4"/>
      <c r="L38" s="131"/>
      <c r="M38" s="131"/>
      <c r="N38" s="131"/>
      <c r="O38" s="131"/>
      <c r="P38" s="131"/>
      <c r="Q38" s="131"/>
      <c r="R38" s="131"/>
      <c r="S38" s="131"/>
    </row>
    <row r="39" spans="1:19" ht="12.9" x14ac:dyDescent="0.5">
      <c r="A39" s="127" t="s">
        <v>66</v>
      </c>
      <c r="B39"/>
      <c r="C39"/>
      <c r="D39"/>
      <c r="E39"/>
      <c r="F39"/>
      <c r="G39"/>
      <c r="H39"/>
      <c r="I39" s="4"/>
      <c r="J39" s="4"/>
      <c r="K39" s="4"/>
      <c r="L39" s="131"/>
      <c r="M39" s="131"/>
      <c r="N39" s="131"/>
      <c r="O39" s="131"/>
      <c r="P39" s="131"/>
      <c r="Q39" s="131"/>
      <c r="R39" s="131"/>
      <c r="S39" s="131"/>
    </row>
    <row r="40" spans="1:19" ht="22.8" customHeight="1" x14ac:dyDescent="0.4">
      <c r="A40" s="280" t="s">
        <v>134</v>
      </c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</row>
    <row r="41" spans="1:19" ht="13.2" customHeight="1" x14ac:dyDescent="0.4">
      <c r="A41" s="280"/>
      <c r="B41" s="280"/>
      <c r="C41" s="280"/>
      <c r="D41" s="280"/>
      <c r="E41" s="280"/>
      <c r="F41" s="280"/>
      <c r="G41" s="280"/>
      <c r="H41" s="280"/>
      <c r="I41" s="280"/>
      <c r="J41" s="280"/>
      <c r="K41" s="280"/>
      <c r="L41" s="280"/>
      <c r="M41" s="280"/>
      <c r="N41" s="280"/>
    </row>
    <row r="42" spans="1:19" x14ac:dyDescent="0.4">
      <c r="A42" s="134"/>
      <c r="B42" s="134"/>
      <c r="C42" s="134"/>
      <c r="D42" s="134"/>
      <c r="E42" s="134"/>
      <c r="F42" s="134"/>
      <c r="G42" s="134"/>
      <c r="H42" s="134"/>
      <c r="I42" s="134"/>
    </row>
    <row r="43" spans="1:19" x14ac:dyDescent="0.4">
      <c r="A43" s="134"/>
      <c r="B43" s="134"/>
      <c r="C43" s="134"/>
      <c r="D43" s="134"/>
      <c r="E43" s="134"/>
      <c r="F43" s="134"/>
      <c r="G43" s="134"/>
      <c r="H43" s="134"/>
      <c r="I43" s="134"/>
    </row>
    <row r="44" spans="1:19" x14ac:dyDescent="0.4">
      <c r="A44" s="134"/>
      <c r="B44" s="134"/>
      <c r="C44" s="134"/>
      <c r="D44" s="134"/>
      <c r="E44" s="134"/>
      <c r="F44" s="134"/>
      <c r="G44" s="134"/>
      <c r="H44" s="134"/>
      <c r="I44" s="134"/>
    </row>
    <row r="45" spans="1:19" ht="51" x14ac:dyDescent="0.4">
      <c r="A45" s="134"/>
      <c r="B45" s="135" t="str">
        <f>'Dane koszty inwestycyjne 3'!F11</f>
        <v>Kocioł gazowy, kondensacyjny o spr. 87%    Wariant A</v>
      </c>
      <c r="C45" s="135" t="str">
        <f>'Dane koszty inwestycyjne 3'!G11</f>
        <v>Gazowa pompa ciepła z wsp.  SPER 124%    Wariant B</v>
      </c>
      <c r="D45" s="135" t="str">
        <f>'Dane koszty inwestycyjne 3'!H11</f>
        <v>Kocioł na pelet o spr. 83%  Wariant C</v>
      </c>
      <c r="E45" s="135" t="str">
        <f>'Dane koszty inwestycyjne 3'!I11</f>
        <v>Kocioł elektryczny o spr. 94%    Wariant D</v>
      </c>
      <c r="F45" s="135" t="str">
        <f>'Dane koszty inwestycyjne 3'!J11</f>
        <v>PV 3,3 kWp + Pompa c. P/W o SCOP=3,45  Wariant E</v>
      </c>
      <c r="G45" s="135" t="str">
        <f>'Dane koszty inwestycyjne 3'!K11</f>
        <v>Powietrzna pompa ciepła o SCOP = 3,45  Wariant F</v>
      </c>
      <c r="H45" s="135" t="str">
        <f>'Dane koszty inwestycyjne 3'!L11</f>
        <v>Gruntowa pompa ciepła o SCOP = 3,75  Wariant G</v>
      </c>
      <c r="I45" s="134"/>
    </row>
    <row r="46" spans="1:19" ht="15" x14ac:dyDescent="0.5">
      <c r="A46" s="136" t="s">
        <v>53</v>
      </c>
      <c r="B46" s="137">
        <f>Start!F99</f>
        <v>1317.9235240782787</v>
      </c>
      <c r="C46" s="137">
        <f>Start!G99</f>
        <v>2291.5336705293435</v>
      </c>
      <c r="D46" s="137">
        <f>Start!H99</f>
        <v>2012.3937822970147</v>
      </c>
      <c r="E46" s="137">
        <f>Start!I99</f>
        <v>729.17241179906932</v>
      </c>
      <c r="F46" s="137">
        <f>Start!J99</f>
        <v>1993.6116941486903</v>
      </c>
      <c r="G46" s="137">
        <f>Start!K99</f>
        <v>1269.1908166924852</v>
      </c>
      <c r="H46" s="137">
        <f>Start!L99</f>
        <v>1653.2712287041027</v>
      </c>
      <c r="I46" s="134"/>
    </row>
    <row r="47" spans="1:19" ht="14.1" x14ac:dyDescent="0.5">
      <c r="A47" s="136" t="s">
        <v>45</v>
      </c>
      <c r="B47" s="138">
        <f>Start!F103</f>
        <v>2514.6943550955411</v>
      </c>
      <c r="C47" s="138">
        <f>Start!G103</f>
        <v>2470.2354650744437</v>
      </c>
      <c r="D47" s="138">
        <f>Start!H103</f>
        <v>2245.7878539941221</v>
      </c>
      <c r="E47" s="138">
        <f>Start!I103</f>
        <v>4798.7428577736109</v>
      </c>
      <c r="F47" s="138">
        <f>Start!J103</f>
        <v>879.63333333333333</v>
      </c>
      <c r="G47" s="138">
        <f>Start!K103</f>
        <v>1850.7396825396825</v>
      </c>
      <c r="H47" s="138">
        <f>Start!L103</f>
        <v>1599.6626984126983</v>
      </c>
      <c r="I47" s="134"/>
    </row>
    <row r="48" spans="1:19" ht="14.1" x14ac:dyDescent="0.5">
      <c r="A48" s="139" t="s">
        <v>22</v>
      </c>
      <c r="B48" s="140">
        <f>Start!F101</f>
        <v>3832.6178791738198</v>
      </c>
      <c r="C48" s="140">
        <f>Start!G101</f>
        <v>4761.7691356037867</v>
      </c>
      <c r="D48" s="140">
        <f>Start!H101</f>
        <v>4258.1816362911368</v>
      </c>
      <c r="E48" s="140">
        <f>Start!I101</f>
        <v>5527.9152695726807</v>
      </c>
      <c r="F48" s="140">
        <f>Start!J101</f>
        <v>2873.2450274820235</v>
      </c>
      <c r="G48" s="140">
        <f>Start!K101</f>
        <v>3119.9304992321677</v>
      </c>
      <c r="H48" s="140">
        <f>Start!L101</f>
        <v>3252.933927116801</v>
      </c>
      <c r="I48" s="134"/>
    </row>
    <row r="49" spans="1:13" x14ac:dyDescent="0.4">
      <c r="A49" s="134"/>
      <c r="B49" s="141"/>
      <c r="C49" s="141"/>
      <c r="D49" s="141"/>
      <c r="E49" s="141"/>
      <c r="F49" s="141"/>
      <c r="G49" s="141"/>
      <c r="H49" s="141"/>
      <c r="I49" s="134"/>
    </row>
    <row r="50" spans="1:13" x14ac:dyDescent="0.4">
      <c r="A50" s="134"/>
      <c r="B50" s="134"/>
      <c r="C50" s="134"/>
      <c r="D50" s="134"/>
      <c r="E50" s="134"/>
      <c r="F50" s="134"/>
      <c r="G50" s="134"/>
      <c r="H50" s="134"/>
      <c r="I50" s="134"/>
    </row>
    <row r="51" spans="1:13" x14ac:dyDescent="0.4">
      <c r="A51" s="134"/>
      <c r="B51" s="134"/>
      <c r="C51" s="134"/>
      <c r="D51" s="134"/>
      <c r="E51" s="134"/>
      <c r="F51" s="134"/>
      <c r="G51" s="134"/>
      <c r="H51" s="134"/>
      <c r="I51" s="134"/>
    </row>
    <row r="52" spans="1:13" x14ac:dyDescent="0.4">
      <c r="A52" s="134"/>
      <c r="B52" s="134"/>
      <c r="C52" s="134"/>
      <c r="D52" s="134"/>
      <c r="E52" s="134"/>
      <c r="F52" s="134"/>
      <c r="G52" s="134"/>
      <c r="H52" s="134"/>
      <c r="I52" s="134"/>
    </row>
    <row r="53" spans="1:13" x14ac:dyDescent="0.4">
      <c r="A53" s="134"/>
      <c r="B53" s="142" t="str">
        <f t="shared" ref="B53:H54" si="0">B45</f>
        <v>Kocioł gazowy, kondensacyjny o spr. 87%    Wariant A</v>
      </c>
      <c r="C53" s="142" t="str">
        <f t="shared" si="0"/>
        <v>Gazowa pompa ciepła z wsp.  SPER 124%    Wariant B</v>
      </c>
      <c r="D53" s="142" t="str">
        <f t="shared" si="0"/>
        <v>Kocioł na pelet o spr. 83%  Wariant C</v>
      </c>
      <c r="E53" s="142" t="str">
        <f>E45</f>
        <v>Kocioł elektryczny o spr. 94%    Wariant D</v>
      </c>
      <c r="F53" s="142" t="str">
        <f t="shared" si="0"/>
        <v>PV 3,3 kWp + Pompa c. P/W o SCOP=3,45  Wariant E</v>
      </c>
      <c r="G53" s="142" t="str">
        <f t="shared" si="0"/>
        <v>Powietrzna pompa ciepła o SCOP = 3,45  Wariant F</v>
      </c>
      <c r="H53" s="142" t="str">
        <f t="shared" si="0"/>
        <v>Gruntowa pompa ciepła o SCOP = 3,75  Wariant G</v>
      </c>
      <c r="I53" s="134"/>
    </row>
    <row r="54" spans="1:13" ht="15" x14ac:dyDescent="0.5">
      <c r="A54" s="143" t="str">
        <f>A46</f>
        <v>Koszty kapitałowe</v>
      </c>
      <c r="B54" s="137">
        <f t="shared" si="0"/>
        <v>1317.9235240782787</v>
      </c>
      <c r="C54" s="137">
        <f t="shared" si="0"/>
        <v>2291.5336705293435</v>
      </c>
      <c r="D54" s="137">
        <f t="shared" si="0"/>
        <v>2012.3937822970147</v>
      </c>
      <c r="E54" s="137">
        <f>E46</f>
        <v>729.17241179906932</v>
      </c>
      <c r="F54" s="137">
        <f t="shared" si="0"/>
        <v>1993.6116941486903</v>
      </c>
      <c r="G54" s="137">
        <f t="shared" si="0"/>
        <v>1269.1908166924852</v>
      </c>
      <c r="H54" s="137">
        <f t="shared" si="0"/>
        <v>1653.2712287041027</v>
      </c>
      <c r="I54" s="134"/>
    </row>
    <row r="55" spans="1:13" ht="15" x14ac:dyDescent="0.5">
      <c r="A55" s="143" t="s">
        <v>59</v>
      </c>
      <c r="B55" s="137">
        <f>Start!F74</f>
        <v>2214.6943550955411</v>
      </c>
      <c r="C55" s="137">
        <f>Start!G74</f>
        <v>1795.2354650744437</v>
      </c>
      <c r="D55" s="137">
        <f>Start!H74</f>
        <v>1765.7878539941221</v>
      </c>
      <c r="E55" s="137">
        <f>Start!I74</f>
        <v>4716.2428577736109</v>
      </c>
      <c r="F55" s="137">
        <f>Start!J74</f>
        <v>0</v>
      </c>
      <c r="G55" s="137">
        <f>Start!K74</f>
        <v>1430.7396825396825</v>
      </c>
      <c r="H55" s="137">
        <f>Start!L74</f>
        <v>1179.6626984126983</v>
      </c>
      <c r="I55" s="134"/>
    </row>
    <row r="56" spans="1:13" ht="15" x14ac:dyDescent="0.5">
      <c r="A56" s="143" t="s">
        <v>105</v>
      </c>
      <c r="B56" s="137">
        <f>Start!F83</f>
        <v>300</v>
      </c>
      <c r="C56" s="137">
        <f>Start!G83</f>
        <v>675</v>
      </c>
      <c r="D56" s="137">
        <f>Start!H83</f>
        <v>480</v>
      </c>
      <c r="E56" s="137">
        <f>Start!I83</f>
        <v>82.5</v>
      </c>
      <c r="F56" s="137">
        <f>Start!J83</f>
        <v>879.63333333333333</v>
      </c>
      <c r="G56" s="137">
        <f>Start!K83</f>
        <v>420</v>
      </c>
      <c r="H56" s="137">
        <f>Start!L83</f>
        <v>420</v>
      </c>
      <c r="I56" s="134"/>
    </row>
    <row r="57" spans="1:13" ht="15" x14ac:dyDescent="0.5">
      <c r="A57" s="144" t="s">
        <v>22</v>
      </c>
      <c r="B57" s="137">
        <f t="shared" ref="B57:H57" si="1">SUM(B54:B56)</f>
        <v>3832.6178791738198</v>
      </c>
      <c r="C57" s="137">
        <f t="shared" si="1"/>
        <v>4761.7691356037867</v>
      </c>
      <c r="D57" s="137">
        <f t="shared" si="1"/>
        <v>4258.1816362911368</v>
      </c>
      <c r="E57" s="137">
        <f t="shared" si="1"/>
        <v>5527.9152695726807</v>
      </c>
      <c r="F57" s="137">
        <f t="shared" si="1"/>
        <v>2873.2450274820235</v>
      </c>
      <c r="G57" s="137">
        <f t="shared" si="1"/>
        <v>3119.9304992321677</v>
      </c>
      <c r="H57" s="137">
        <f t="shared" si="1"/>
        <v>3252.933927116801</v>
      </c>
      <c r="I57" s="134"/>
    </row>
    <row r="58" spans="1:13" x14ac:dyDescent="0.4">
      <c r="A58" s="134"/>
      <c r="B58" s="134"/>
      <c r="C58" s="134"/>
      <c r="D58" s="134"/>
      <c r="E58" s="134"/>
      <c r="F58" s="134"/>
      <c r="G58" s="134"/>
      <c r="H58" s="134"/>
      <c r="I58" s="134"/>
    </row>
    <row r="59" spans="1:13" ht="51.3" x14ac:dyDescent="0.4">
      <c r="A59" s="134"/>
      <c r="B59" s="145" t="str">
        <f t="shared" ref="B59:H59" si="2">B53</f>
        <v>Kocioł gazowy, kondensacyjny o spr. 87%    Wariant A</v>
      </c>
      <c r="C59" s="145" t="str">
        <f t="shared" si="2"/>
        <v>Gazowa pompa ciepła z wsp.  SPER 124%    Wariant B</v>
      </c>
      <c r="D59" s="145" t="str">
        <f t="shared" si="2"/>
        <v>Kocioł na pelet o spr. 83%  Wariant C</v>
      </c>
      <c r="E59" s="145" t="str">
        <f t="shared" si="2"/>
        <v>Kocioł elektryczny o spr. 94%    Wariant D</v>
      </c>
      <c r="F59" s="145" t="str">
        <f t="shared" si="2"/>
        <v>PV 3,3 kWp + Pompa c. P/W o SCOP=3,45  Wariant E</v>
      </c>
      <c r="G59" s="145" t="str">
        <f t="shared" si="2"/>
        <v>Powietrzna pompa ciepła o SCOP = 3,45  Wariant F</v>
      </c>
      <c r="H59" s="145" t="str">
        <f t="shared" si="2"/>
        <v>Gruntowa pompa ciepła o SCOP = 3,75  Wariant G</v>
      </c>
    </row>
    <row r="60" spans="1:13" ht="14.4" x14ac:dyDescent="0.55000000000000004">
      <c r="A60" s="250" t="s">
        <v>196</v>
      </c>
      <c r="B60" s="146">
        <f>'Dane koszty inwestycyjne 3'!F14</f>
        <v>0</v>
      </c>
      <c r="C60" s="146">
        <f>'Dane koszty inwestycyjne 3'!G14</f>
        <v>0</v>
      </c>
      <c r="D60" s="146">
        <f>'Dane koszty inwestycyjne 3'!H14</f>
        <v>16000</v>
      </c>
      <c r="E60" s="146">
        <f>'Dane koszty inwestycyjne 3'!I14</f>
        <v>0</v>
      </c>
      <c r="F60" s="146">
        <f>'Dane koszty inwestycyjne 3'!J14</f>
        <v>0</v>
      </c>
      <c r="G60" s="146">
        <f>'Dane koszty inwestycyjne 3'!K14</f>
        <v>0</v>
      </c>
      <c r="H60" s="146">
        <f>'Dane koszty inwestycyjne 3'!L14</f>
        <v>0</v>
      </c>
    </row>
    <row r="61" spans="1:13" ht="14.4" x14ac:dyDescent="0.55000000000000004">
      <c r="A61" s="250" t="s">
        <v>122</v>
      </c>
      <c r="B61" s="146">
        <f>Start!F50</f>
        <v>0</v>
      </c>
      <c r="C61" s="146">
        <f>Start!G50</f>
        <v>0</v>
      </c>
      <c r="D61" s="146">
        <f>Start!H50</f>
        <v>0</v>
      </c>
      <c r="E61" s="146">
        <f>Start!I50</f>
        <v>0</v>
      </c>
      <c r="F61" s="146">
        <f>Start!J50</f>
        <v>0</v>
      </c>
      <c r="G61" s="146">
        <f>Start!K50</f>
        <v>0</v>
      </c>
      <c r="H61" s="146">
        <f>Start!L50</f>
        <v>0</v>
      </c>
    </row>
    <row r="62" spans="1:13" ht="15.6" x14ac:dyDescent="0.6">
      <c r="A62" s="250" t="s">
        <v>170</v>
      </c>
      <c r="B62" s="146">
        <f>Start!F51</f>
        <v>6000</v>
      </c>
      <c r="C62" s="146">
        <f>Start!G51</f>
        <v>0</v>
      </c>
      <c r="D62" s="146">
        <f>Start!H51</f>
        <v>6000</v>
      </c>
      <c r="E62" s="146">
        <f>Start!I51</f>
        <v>6000</v>
      </c>
      <c r="F62" s="146">
        <f>Start!J51</f>
        <v>15981.666666666666</v>
      </c>
      <c r="G62" s="146">
        <f>Start!K51</f>
        <v>0</v>
      </c>
      <c r="H62" s="146">
        <f>Start!L51</f>
        <v>3000</v>
      </c>
      <c r="M62" s="163"/>
    </row>
    <row r="63" spans="1:13" ht="15.6" x14ac:dyDescent="0.6">
      <c r="A63" s="250" t="s">
        <v>41</v>
      </c>
      <c r="B63" s="146">
        <f>Start!F52</f>
        <v>3000</v>
      </c>
      <c r="C63" s="146">
        <f>Start!G52</f>
        <v>0</v>
      </c>
      <c r="D63" s="146">
        <f>Start!H52</f>
        <v>4000</v>
      </c>
      <c r="E63" s="146">
        <f>Start!I52</f>
        <v>0</v>
      </c>
      <c r="F63" s="146">
        <f>Start!J52</f>
        <v>0</v>
      </c>
      <c r="G63" s="146"/>
      <c r="H63" s="146"/>
      <c r="M63" s="163"/>
    </row>
    <row r="64" spans="1:13" ht="15.6" x14ac:dyDescent="0.6">
      <c r="A64" s="147" t="s">
        <v>189</v>
      </c>
      <c r="B64" s="146">
        <f>Start!F53</f>
        <v>10000</v>
      </c>
      <c r="C64" s="146">
        <f>Start!G53</f>
        <v>0</v>
      </c>
      <c r="D64" s="146">
        <f>Start!H53</f>
        <v>14000</v>
      </c>
      <c r="E64" s="146">
        <f>Start!I53</f>
        <v>5500</v>
      </c>
      <c r="F64" s="146">
        <f>Start!J53</f>
        <v>0</v>
      </c>
      <c r="G64" s="146"/>
      <c r="H64" s="146"/>
      <c r="M64" s="163"/>
    </row>
    <row r="65" spans="1:13" ht="15.6" x14ac:dyDescent="0.6">
      <c r="A65" s="147" t="s">
        <v>190</v>
      </c>
      <c r="B65" s="146">
        <f>Start!F54</f>
        <v>7000</v>
      </c>
      <c r="C65" s="146">
        <f>Start!G54</f>
        <v>7000</v>
      </c>
      <c r="D65" s="146">
        <f>Start!H54</f>
        <v>0</v>
      </c>
      <c r="E65" s="146">
        <f>Start!I54</f>
        <v>0</v>
      </c>
      <c r="F65" s="146"/>
      <c r="G65" s="146"/>
      <c r="H65" s="146"/>
      <c r="M65" s="163"/>
    </row>
    <row r="66" spans="1:13" ht="15.6" x14ac:dyDescent="0.6">
      <c r="A66" s="147" t="s">
        <v>95</v>
      </c>
      <c r="B66" s="146"/>
      <c r="C66" s="146">
        <f>'Dane koszty inwestycyjne 3'!G20</f>
        <v>45000</v>
      </c>
      <c r="D66" s="146"/>
      <c r="E66" s="146">
        <f>Start!I55</f>
        <v>0</v>
      </c>
      <c r="F66" s="146">
        <f>Start!J55</f>
        <v>28000</v>
      </c>
      <c r="G66" s="146">
        <f>Start!K55</f>
        <v>28000</v>
      </c>
      <c r="H66" s="146">
        <f>Start!L55</f>
        <v>28000</v>
      </c>
      <c r="M66" s="163"/>
    </row>
    <row r="67" spans="1:13" ht="15.6" x14ac:dyDescent="0.6">
      <c r="A67" s="147" t="s">
        <v>33</v>
      </c>
      <c r="B67" s="146"/>
      <c r="C67" s="146"/>
      <c r="D67" s="146"/>
      <c r="E67" s="146"/>
      <c r="F67" s="146"/>
      <c r="G67" s="146"/>
      <c r="H67" s="146">
        <f>Start!L56</f>
        <v>15000</v>
      </c>
      <c r="M67" s="163"/>
    </row>
    <row r="68" spans="1:13" ht="15.6" x14ac:dyDescent="0.6">
      <c r="A68" s="147" t="s">
        <v>186</v>
      </c>
      <c r="B68" s="146">
        <f>Start!F58</f>
        <v>0</v>
      </c>
      <c r="C68" s="146">
        <f>Start!G58</f>
        <v>0</v>
      </c>
      <c r="D68" s="146">
        <f>Start!H58</f>
        <v>0</v>
      </c>
      <c r="E68" s="146">
        <f>Start!I58</f>
        <v>0</v>
      </c>
      <c r="F68" s="146">
        <f>Start!J58</f>
        <v>0</v>
      </c>
      <c r="G68" s="146">
        <f>Start!K58</f>
        <v>0</v>
      </c>
      <c r="H68" s="146">
        <f>Start!L58</f>
        <v>0</v>
      </c>
      <c r="M68" s="164"/>
    </row>
    <row r="69" spans="1:13" ht="15.6" x14ac:dyDescent="0.6">
      <c r="A69" s="277" t="s">
        <v>221</v>
      </c>
      <c r="B69" s="146">
        <f>'Dane koszty inwestycyjne 3'!F24</f>
        <v>-5100</v>
      </c>
      <c r="C69" s="146">
        <f>'Dane koszty inwestycyjne 3'!G24</f>
        <v>-13500</v>
      </c>
      <c r="D69" s="146">
        <f>'Dane koszty inwestycyjne 3'!H24</f>
        <v>-5400</v>
      </c>
      <c r="E69" s="146">
        <f>'Dane koszty inwestycyjne 3'!I24</f>
        <v>-1650</v>
      </c>
      <c r="F69" s="146">
        <f>'Dane koszty inwestycyjne 3'!J24</f>
        <v>-13194.499999999998</v>
      </c>
      <c r="G69" s="146">
        <f>'Dane koszty inwestycyjne 3'!K24</f>
        <v>-8400</v>
      </c>
      <c r="H69" s="146">
        <f>'Dane koszty inwestycyjne 3'!L24</f>
        <v>-13800</v>
      </c>
      <c r="M69" s="278"/>
    </row>
    <row r="70" spans="1:13" ht="12.9" x14ac:dyDescent="0.5">
      <c r="A70" s="148" t="s">
        <v>106</v>
      </c>
      <c r="B70" s="149">
        <f>SUM(B60:B69)</f>
        <v>20900</v>
      </c>
      <c r="C70" s="149">
        <f t="shared" ref="C70:H70" si="3">SUM(C60:C69)</f>
        <v>38500</v>
      </c>
      <c r="D70" s="149">
        <f t="shared" si="3"/>
        <v>34600</v>
      </c>
      <c r="E70" s="149">
        <f t="shared" si="3"/>
        <v>9850</v>
      </c>
      <c r="F70" s="149">
        <f t="shared" si="3"/>
        <v>30787.166666666664</v>
      </c>
      <c r="G70" s="149">
        <f t="shared" si="3"/>
        <v>19600</v>
      </c>
      <c r="H70" s="149">
        <f t="shared" si="3"/>
        <v>32200</v>
      </c>
    </row>
    <row r="71" spans="1:13" x14ac:dyDescent="0.4">
      <c r="A71" s="134"/>
      <c r="B71" s="134"/>
      <c r="C71" s="134"/>
      <c r="D71" s="134"/>
      <c r="E71" s="134"/>
      <c r="F71" s="134"/>
      <c r="G71" s="134"/>
      <c r="H71" s="134"/>
      <c r="I71" s="134"/>
      <c r="J71" s="134"/>
    </row>
    <row r="72" spans="1:13" x14ac:dyDescent="0.4">
      <c r="A72" s="134"/>
      <c r="B72" s="134" t="s">
        <v>152</v>
      </c>
      <c r="C72" s="134" t="s">
        <v>210</v>
      </c>
      <c r="D72" s="134" t="s">
        <v>194</v>
      </c>
      <c r="E72" s="134" t="s">
        <v>161</v>
      </c>
      <c r="F72" s="134" t="s">
        <v>201</v>
      </c>
      <c r="G72" s="134" t="s">
        <v>153</v>
      </c>
      <c r="H72" s="134" t="s">
        <v>197</v>
      </c>
      <c r="I72" s="134"/>
      <c r="J72" s="134"/>
    </row>
    <row r="73" spans="1:13" x14ac:dyDescent="0.4">
      <c r="A73" s="134"/>
      <c r="B73" s="134">
        <f>'Dane sprawność 2'!E5</f>
        <v>87</v>
      </c>
      <c r="C73" s="134">
        <f>'Dane sprawność 2'!F5</f>
        <v>124</v>
      </c>
      <c r="D73" s="134">
        <f>'Dane sprawność 2'!G5</f>
        <v>83</v>
      </c>
      <c r="E73" s="134">
        <f>'Dane sprawność 2'!H5</f>
        <v>94</v>
      </c>
      <c r="F73" s="134">
        <f>'Dane sprawność 2'!I5</f>
        <v>3.45</v>
      </c>
      <c r="G73" s="134">
        <f>'Dane sprawność 2'!J5</f>
        <v>3.45</v>
      </c>
      <c r="H73" s="134">
        <f>'Dane sprawność 2'!K5</f>
        <v>3.75</v>
      </c>
      <c r="I73" s="134"/>
      <c r="J73" s="134"/>
    </row>
    <row r="74" spans="1:13" x14ac:dyDescent="0.4">
      <c r="A74" s="134"/>
      <c r="B74" s="134" t="s">
        <v>142</v>
      </c>
      <c r="C74" s="134" t="s">
        <v>142</v>
      </c>
      <c r="D74" s="134" t="s">
        <v>142</v>
      </c>
      <c r="E74" s="134" t="s">
        <v>142</v>
      </c>
      <c r="F74" s="134"/>
      <c r="G74" s="134"/>
      <c r="H74" s="134"/>
      <c r="I74" s="134" t="s">
        <v>142</v>
      </c>
      <c r="J74" s="134"/>
    </row>
    <row r="75" spans="1:13" x14ac:dyDescent="0.4">
      <c r="A75" s="134"/>
      <c r="B75" s="134" t="str">
        <f t="shared" ref="B75:H75" si="4">CONCATENATE(B72,B73,B74)</f>
        <v>Wariant A, KG-spr. 87%</v>
      </c>
      <c r="C75" s="134" t="str">
        <f t="shared" si="4"/>
        <v>Wariant B, Gaz PC-wsp. ef. 124%</v>
      </c>
      <c r="D75" s="134" t="str">
        <f t="shared" si="4"/>
        <v>Wariant C, Pelet-spr. 83%</v>
      </c>
      <c r="E75" s="134" t="str">
        <f t="shared" si="4"/>
        <v>Wariant D, KE-spr. 94%</v>
      </c>
      <c r="F75" s="134" t="str">
        <f t="shared" si="4"/>
        <v>Wariant E, PV+ PC P/W, SPF=3,45</v>
      </c>
      <c r="G75" s="134" t="str">
        <f t="shared" si="4"/>
        <v>Wariant F, PC P/W, SPF=3,45</v>
      </c>
      <c r="H75" s="134" t="str">
        <f t="shared" si="4"/>
        <v>Wariant G, PC S/W, SPF=3,75</v>
      </c>
      <c r="I75" s="134"/>
      <c r="J75" s="134"/>
    </row>
    <row r="76" spans="1:13" x14ac:dyDescent="0.4">
      <c r="A76" s="134"/>
      <c r="B76" s="141">
        <f t="shared" ref="B76:G76" si="5">B70</f>
        <v>20900</v>
      </c>
      <c r="C76" s="141">
        <f t="shared" si="5"/>
        <v>38500</v>
      </c>
      <c r="D76" s="141">
        <f t="shared" si="5"/>
        <v>34600</v>
      </c>
      <c r="E76" s="141">
        <f t="shared" si="5"/>
        <v>9850</v>
      </c>
      <c r="F76" s="141">
        <f t="shared" si="5"/>
        <v>30787.166666666664</v>
      </c>
      <c r="G76" s="141">
        <f t="shared" si="5"/>
        <v>19600</v>
      </c>
      <c r="H76" s="141">
        <f>H70</f>
        <v>32200</v>
      </c>
      <c r="I76" s="134"/>
      <c r="J76" s="134"/>
    </row>
    <row r="77" spans="1:13" x14ac:dyDescent="0.4">
      <c r="A77" s="134"/>
      <c r="B77" s="141">
        <f>-(B76-$G$76)</f>
        <v>-1300</v>
      </c>
      <c r="C77" s="141">
        <f>-(C76-$G$76)</f>
        <v>-18900</v>
      </c>
      <c r="D77" s="141">
        <f>-(D76-$G$76)</f>
        <v>-15000</v>
      </c>
      <c r="E77" s="141">
        <f>-(E76-$G$76)</f>
        <v>9750</v>
      </c>
      <c r="F77" s="141">
        <f>-(F76-$G$76)</f>
        <v>-11187.166666666664</v>
      </c>
      <c r="G77" s="141"/>
      <c r="H77" s="141"/>
      <c r="I77" s="134"/>
      <c r="J77" s="134"/>
    </row>
    <row r="78" spans="1:13" ht="22.8" customHeight="1" x14ac:dyDescent="0.4">
      <c r="A78" s="134"/>
      <c r="B78" s="150">
        <f t="shared" ref="B78:G78" si="6">B47</f>
        <v>2514.6943550955411</v>
      </c>
      <c r="C78" s="150">
        <f t="shared" si="6"/>
        <v>2470.2354650744437</v>
      </c>
      <c r="D78" s="150">
        <f t="shared" si="6"/>
        <v>2245.7878539941221</v>
      </c>
      <c r="E78" s="150">
        <f t="shared" si="6"/>
        <v>4798.7428577736109</v>
      </c>
      <c r="F78" s="150">
        <f t="shared" si="6"/>
        <v>879.63333333333333</v>
      </c>
      <c r="G78" s="150">
        <f t="shared" si="6"/>
        <v>1850.7396825396825</v>
      </c>
      <c r="H78" s="150">
        <f>H47</f>
        <v>1599.6626984126983</v>
      </c>
      <c r="I78" s="134"/>
      <c r="J78" s="134"/>
    </row>
    <row r="79" spans="1:13" ht="19.2" customHeight="1" x14ac:dyDescent="0.4">
      <c r="A79" s="134"/>
      <c r="B79" s="150">
        <f>B78-$G$78</f>
        <v>663.95467255585868</v>
      </c>
      <c r="C79" s="150">
        <f>C78-$G$78</f>
        <v>619.49578253476125</v>
      </c>
      <c r="D79" s="150">
        <f>D78-$G$78</f>
        <v>395.04817145443963</v>
      </c>
      <c r="E79" s="150">
        <f>E78-$G$78</f>
        <v>2948.0031752339282</v>
      </c>
      <c r="F79" s="150">
        <f>F78-$G$78</f>
        <v>-971.10634920634914</v>
      </c>
      <c r="G79" s="150"/>
      <c r="H79" s="150"/>
      <c r="I79" s="134"/>
      <c r="J79" s="134"/>
    </row>
    <row r="80" spans="1:13" x14ac:dyDescent="0.4">
      <c r="A80" s="134"/>
      <c r="B80" s="134" t="str">
        <f t="shared" ref="B80:H80" si="7">B53</f>
        <v>Kocioł gazowy, kondensacyjny o spr. 87%    Wariant A</v>
      </c>
      <c r="C80" s="134" t="str">
        <f t="shared" si="7"/>
        <v>Gazowa pompa ciepła z wsp.  SPER 124%    Wariant B</v>
      </c>
      <c r="D80" s="134" t="str">
        <f t="shared" si="7"/>
        <v>Kocioł na pelet o spr. 83%  Wariant C</v>
      </c>
      <c r="E80" s="134" t="str">
        <f t="shared" si="7"/>
        <v>Kocioł elektryczny o spr. 94%    Wariant D</v>
      </c>
      <c r="F80" s="134" t="str">
        <f t="shared" si="7"/>
        <v>PV 3,3 kWp + Pompa c. P/W o SCOP=3,45  Wariant E</v>
      </c>
      <c r="G80" s="134" t="str">
        <f t="shared" si="7"/>
        <v>Powietrzna pompa ciepła o SCOP = 3,45  Wariant F</v>
      </c>
      <c r="H80" s="134" t="str">
        <f t="shared" si="7"/>
        <v>Gruntowa pompa ciepła o SCOP = 3,75  Wariant G</v>
      </c>
      <c r="I80" s="134"/>
      <c r="J80" s="134"/>
    </row>
    <row r="81" spans="1:10" ht="17.7" x14ac:dyDescent="0.6">
      <c r="A81" s="151" t="s">
        <v>22</v>
      </c>
      <c r="B81" s="152">
        <f t="shared" ref="B81:E81" si="8">B48/$F$48</f>
        <v>1.3338987251402452</v>
      </c>
      <c r="C81" s="152">
        <f t="shared" si="8"/>
        <v>1.6572791704356578</v>
      </c>
      <c r="D81" s="152">
        <f t="shared" si="8"/>
        <v>1.4820113131885611</v>
      </c>
      <c r="E81" s="152">
        <f t="shared" si="8"/>
        <v>1.9239275511483562</v>
      </c>
      <c r="F81" s="152">
        <f>F48/$F$48</f>
        <v>1</v>
      </c>
      <c r="G81" s="152">
        <f t="shared" ref="G81:H81" si="9">G48/$F$48</f>
        <v>1.0858560510470379</v>
      </c>
      <c r="H81" s="152">
        <f t="shared" si="9"/>
        <v>1.1321463696980689</v>
      </c>
      <c r="I81" s="134"/>
      <c r="J81" s="134"/>
    </row>
    <row r="82" spans="1:10" ht="17.7" x14ac:dyDescent="0.6">
      <c r="A82" s="153"/>
      <c r="B82" s="154"/>
      <c r="C82" s="154"/>
      <c r="D82" s="154"/>
      <c r="E82" s="154"/>
      <c r="F82" s="154"/>
      <c r="G82" s="154"/>
      <c r="H82" s="154"/>
      <c r="I82" s="134"/>
      <c r="J82" s="134"/>
    </row>
    <row r="83" spans="1:10" ht="61.5" x14ac:dyDescent="0.4">
      <c r="A83" s="134"/>
      <c r="B83" s="145" t="str">
        <f t="shared" ref="B83:H83" si="10">B45</f>
        <v>Kocioł gazowy, kondensacyjny o spr. 87%    Wariant A</v>
      </c>
      <c r="C83" s="145" t="str">
        <f t="shared" si="10"/>
        <v>Gazowa pompa ciepła z wsp.  SPER 124%    Wariant B</v>
      </c>
      <c r="D83" s="145" t="str">
        <f t="shared" si="10"/>
        <v>Kocioł na pelet o spr. 83%  Wariant C</v>
      </c>
      <c r="E83" s="145" t="str">
        <f t="shared" si="10"/>
        <v>Kocioł elektryczny o spr. 94%    Wariant D</v>
      </c>
      <c r="F83" s="145" t="str">
        <f t="shared" si="10"/>
        <v>PV 3,3 kWp + Pompa c. P/W o SCOP=3,45  Wariant E</v>
      </c>
      <c r="G83" s="145" t="str">
        <f t="shared" si="10"/>
        <v>Powietrzna pompa ciepła o SCOP = 3,45  Wariant F</v>
      </c>
      <c r="H83" s="145" t="str">
        <f t="shared" si="10"/>
        <v>Gruntowa pompa ciepła o SCOP = 3,75  Wariant G</v>
      </c>
      <c r="I83" s="145" t="str">
        <f>H83</f>
        <v>Gruntowa pompa ciepła o SCOP = 3,75  Wariant G</v>
      </c>
      <c r="J83" s="134"/>
    </row>
    <row r="84" spans="1:10" ht="14.1" x14ac:dyDescent="0.5">
      <c r="A84" s="155" t="s">
        <v>99</v>
      </c>
      <c r="B84" s="156">
        <f>Start!F60</f>
        <v>20900</v>
      </c>
      <c r="C84" s="156">
        <f>Start!G60</f>
        <v>38500</v>
      </c>
      <c r="D84" s="156">
        <f>Start!H60</f>
        <v>34600</v>
      </c>
      <c r="E84" s="156">
        <f>Start!I60</f>
        <v>9850</v>
      </c>
      <c r="F84" s="156">
        <f>Start!J60</f>
        <v>30787.166666666664</v>
      </c>
      <c r="G84" s="156">
        <f>Start!K60</f>
        <v>19600</v>
      </c>
      <c r="H84" s="156">
        <f>Start!L60</f>
        <v>32200</v>
      </c>
      <c r="I84" s="141">
        <f>Start!L60</f>
        <v>32200</v>
      </c>
      <c r="J84" s="134"/>
    </row>
    <row r="85" spans="1:10" ht="14.1" x14ac:dyDescent="0.5">
      <c r="A85" s="155" t="s">
        <v>100</v>
      </c>
      <c r="B85" s="156">
        <f>Start!F60-Start!F58</f>
        <v>20900</v>
      </c>
      <c r="C85" s="156">
        <f>Start!G60-Start!G58</f>
        <v>38500</v>
      </c>
      <c r="D85" s="156">
        <f>Start!H60-Start!H58</f>
        <v>34600</v>
      </c>
      <c r="E85" s="156">
        <f>Start!I60-Start!I58</f>
        <v>9850</v>
      </c>
      <c r="F85" s="156">
        <f>Start!J60-Start!J58</f>
        <v>30787.166666666664</v>
      </c>
      <c r="G85" s="156">
        <f>Start!K60-Start!K58</f>
        <v>19600</v>
      </c>
      <c r="H85" s="156">
        <f>Start!L60-Start!L58</f>
        <v>32200</v>
      </c>
      <c r="I85" s="141">
        <f>Start!L60-Start!L58</f>
        <v>32200</v>
      </c>
      <c r="J85" s="134"/>
    </row>
    <row r="86" spans="1:10" x14ac:dyDescent="0.4">
      <c r="A86" s="157" t="s">
        <v>124</v>
      </c>
      <c r="B86" s="156">
        <f>B84-$B$84</f>
        <v>0</v>
      </c>
      <c r="C86" s="156">
        <f t="shared" ref="C86:H86" si="11">C84-$B$84</f>
        <v>17600</v>
      </c>
      <c r="D86" s="156">
        <f t="shared" si="11"/>
        <v>13700</v>
      </c>
      <c r="E86" s="156">
        <f t="shared" si="11"/>
        <v>-11050</v>
      </c>
      <c r="F86" s="156">
        <f t="shared" si="11"/>
        <v>9887.1666666666642</v>
      </c>
      <c r="G86" s="156">
        <f t="shared" si="11"/>
        <v>-1300</v>
      </c>
      <c r="H86" s="156">
        <f t="shared" si="11"/>
        <v>11300</v>
      </c>
      <c r="I86" s="158">
        <f>H84-$D$84</f>
        <v>-2400</v>
      </c>
      <c r="J86" s="134"/>
    </row>
    <row r="87" spans="1:10" x14ac:dyDescent="0.4">
      <c r="A87" s="157" t="s">
        <v>123</v>
      </c>
      <c r="B87" s="156"/>
      <c r="C87" s="156">
        <f t="shared" ref="C87:H87" si="12">C84-$C$84</f>
        <v>0</v>
      </c>
      <c r="D87" s="156">
        <f t="shared" si="12"/>
        <v>-3900</v>
      </c>
      <c r="E87" s="156">
        <f t="shared" si="12"/>
        <v>-28650</v>
      </c>
      <c r="F87" s="156">
        <f>F84-$E$84</f>
        <v>20937.166666666664</v>
      </c>
      <c r="G87" s="156">
        <f>G84-$E$84</f>
        <v>9750</v>
      </c>
      <c r="H87" s="156">
        <f t="shared" si="12"/>
        <v>-6300</v>
      </c>
      <c r="I87" s="158"/>
      <c r="J87" s="134"/>
    </row>
    <row r="88" spans="1:10" x14ac:dyDescent="0.4">
      <c r="A88" s="157" t="s">
        <v>135</v>
      </c>
      <c r="B88" s="156"/>
      <c r="C88" s="156">
        <f t="shared" ref="C88:H88" si="13">C85-$B$85</f>
        <v>17600</v>
      </c>
      <c r="D88" s="156">
        <f t="shared" si="13"/>
        <v>13700</v>
      </c>
      <c r="E88" s="156">
        <f t="shared" si="13"/>
        <v>-11050</v>
      </c>
      <c r="F88" s="156">
        <f>F85-$D$85</f>
        <v>-3812.8333333333358</v>
      </c>
      <c r="G88" s="156">
        <f>G84-$D$84</f>
        <v>-15000</v>
      </c>
      <c r="H88" s="156">
        <f t="shared" si="13"/>
        <v>11300</v>
      </c>
      <c r="I88" s="158">
        <f>H85-$D$85</f>
        <v>-2400</v>
      </c>
      <c r="J88" s="134"/>
    </row>
    <row r="89" spans="1:10" x14ac:dyDescent="0.4">
      <c r="A89" s="157" t="s">
        <v>138</v>
      </c>
      <c r="B89" s="156"/>
      <c r="C89" s="156">
        <f t="shared" ref="C89:H89" si="14">C85-$C$85</f>
        <v>0</v>
      </c>
      <c r="D89" s="156">
        <f t="shared" si="14"/>
        <v>-3900</v>
      </c>
      <c r="E89" s="156">
        <f t="shared" si="14"/>
        <v>-28650</v>
      </c>
      <c r="F89" s="156">
        <f t="shared" si="14"/>
        <v>-7712.8333333333358</v>
      </c>
      <c r="G89" s="156">
        <f t="shared" si="14"/>
        <v>-18900</v>
      </c>
      <c r="H89" s="156">
        <f t="shared" si="14"/>
        <v>-6300</v>
      </c>
      <c r="I89" s="134"/>
      <c r="J89" s="134"/>
    </row>
    <row r="90" spans="1:10" x14ac:dyDescent="0.4">
      <c r="A90" s="157" t="s">
        <v>102</v>
      </c>
      <c r="B90" s="156"/>
      <c r="C90" s="156">
        <f t="shared" ref="C90:H91" si="15">-PMT(6%,120,C86)</f>
        <v>1056.9713133744406</v>
      </c>
      <c r="D90" s="156">
        <f t="shared" si="15"/>
        <v>822.75607916078593</v>
      </c>
      <c r="E90" s="156">
        <f t="shared" si="15"/>
        <v>-663.60983027202087</v>
      </c>
      <c r="F90" s="156">
        <f t="shared" si="15"/>
        <v>593.77565552378701</v>
      </c>
      <c r="G90" s="156">
        <f t="shared" si="15"/>
        <v>-78.071744737884814</v>
      </c>
      <c r="H90" s="156">
        <f t="shared" si="15"/>
        <v>678.62362733699865</v>
      </c>
      <c r="I90" s="134"/>
      <c r="J90" s="134"/>
    </row>
    <row r="91" spans="1:10" x14ac:dyDescent="0.4">
      <c r="A91" s="157" t="s">
        <v>101</v>
      </c>
      <c r="B91" s="156"/>
      <c r="C91" s="156">
        <f t="shared" si="15"/>
        <v>0</v>
      </c>
      <c r="D91" s="156">
        <f t="shared" si="15"/>
        <v>-234.21523421365438</v>
      </c>
      <c r="E91" s="156">
        <f t="shared" si="15"/>
        <v>-1720.5811436464612</v>
      </c>
      <c r="F91" s="156">
        <f t="shared" si="15"/>
        <v>1257.3854857958079</v>
      </c>
      <c r="G91" s="156">
        <f t="shared" si="15"/>
        <v>585.53808553413603</v>
      </c>
      <c r="H91" s="156">
        <f t="shared" si="15"/>
        <v>-378.34768603744175</v>
      </c>
      <c r="I91" s="134"/>
      <c r="J91" s="134"/>
    </row>
    <row r="92" spans="1:10" x14ac:dyDescent="0.4">
      <c r="A92" s="134"/>
      <c r="B92" s="159"/>
      <c r="C92" s="159"/>
      <c r="D92" s="159"/>
      <c r="E92" s="159"/>
      <c r="F92" s="159"/>
      <c r="G92" s="159"/>
      <c r="H92" s="159"/>
      <c r="I92" s="134"/>
      <c r="J92" s="134"/>
    </row>
    <row r="93" spans="1:10" x14ac:dyDescent="0.4">
      <c r="A93" s="160" t="s">
        <v>103</v>
      </c>
      <c r="B93" s="156">
        <f t="shared" ref="B93:H93" si="16">B55+B56</f>
        <v>2514.6943550955411</v>
      </c>
      <c r="C93" s="156">
        <f t="shared" si="16"/>
        <v>2470.2354650744437</v>
      </c>
      <c r="D93" s="156">
        <f t="shared" si="16"/>
        <v>2245.7878539941221</v>
      </c>
      <c r="E93" s="156">
        <f t="shared" si="16"/>
        <v>4798.7428577736109</v>
      </c>
      <c r="F93" s="156">
        <f t="shared" si="16"/>
        <v>879.63333333333333</v>
      </c>
      <c r="G93" s="156">
        <f t="shared" si="16"/>
        <v>1850.7396825396825</v>
      </c>
      <c r="H93" s="156">
        <f t="shared" si="16"/>
        <v>1599.6626984126983</v>
      </c>
      <c r="I93" s="141">
        <f>H55+H56</f>
        <v>1599.6626984126983</v>
      </c>
      <c r="J93" s="134"/>
    </row>
    <row r="94" spans="1:10" x14ac:dyDescent="0.4">
      <c r="A94" s="157" t="s">
        <v>126</v>
      </c>
      <c r="B94" s="156">
        <f t="shared" ref="B94:H94" si="17">$B$93-B93</f>
        <v>0</v>
      </c>
      <c r="C94" s="156">
        <f t="shared" si="17"/>
        <v>44.458890021097432</v>
      </c>
      <c r="D94" s="156">
        <f t="shared" si="17"/>
        <v>268.90650110141905</v>
      </c>
      <c r="E94" s="156">
        <f t="shared" si="17"/>
        <v>-2284.0485026780698</v>
      </c>
      <c r="F94" s="156">
        <f t="shared" si="17"/>
        <v>1635.0610217622079</v>
      </c>
      <c r="G94" s="156">
        <f t="shared" si="17"/>
        <v>663.95467255585868</v>
      </c>
      <c r="H94" s="156">
        <f t="shared" si="17"/>
        <v>915.03165668284282</v>
      </c>
      <c r="I94" s="158">
        <f>$D$93-I93</f>
        <v>646.12515558142377</v>
      </c>
      <c r="J94" s="134"/>
    </row>
    <row r="95" spans="1:10" x14ac:dyDescent="0.4">
      <c r="A95" s="157" t="s">
        <v>127</v>
      </c>
      <c r="B95" s="156"/>
      <c r="C95" s="156">
        <f t="shared" ref="C95:H95" si="18">$C$93-C93</f>
        <v>0</v>
      </c>
      <c r="D95" s="156">
        <f t="shared" si="18"/>
        <v>224.44761108032162</v>
      </c>
      <c r="E95" s="156">
        <f t="shared" si="18"/>
        <v>-2328.5073926991672</v>
      </c>
      <c r="F95" s="156">
        <f>$E$93-F93</f>
        <v>3919.1095244402777</v>
      </c>
      <c r="G95" s="156">
        <f>$E$93-G93</f>
        <v>2948.0031752339282</v>
      </c>
      <c r="H95" s="156">
        <f t="shared" si="18"/>
        <v>870.57276666174539</v>
      </c>
      <c r="I95" s="158"/>
      <c r="J95" s="134"/>
    </row>
    <row r="96" spans="1:10" ht="14.4" x14ac:dyDescent="0.55000000000000004">
      <c r="A96" s="157" t="s">
        <v>136</v>
      </c>
      <c r="B96" s="156"/>
      <c r="C96" s="161">
        <f t="shared" ref="C96:H96" si="19">C94-C90</f>
        <v>-1012.5124233533431</v>
      </c>
      <c r="D96" s="161">
        <f t="shared" si="19"/>
        <v>-553.84957805936688</v>
      </c>
      <c r="E96" s="161">
        <f t="shared" si="19"/>
        <v>-1620.4386724060489</v>
      </c>
      <c r="F96" s="161">
        <f>D93-F93</f>
        <v>1366.1545206607889</v>
      </c>
      <c r="G96" s="161">
        <f>D93-G93</f>
        <v>395.04817145443963</v>
      </c>
      <c r="H96" s="156">
        <f t="shared" si="19"/>
        <v>236.40802934584417</v>
      </c>
      <c r="I96" s="134"/>
      <c r="J96" s="134"/>
    </row>
    <row r="97" spans="1:10" ht="26.4" customHeight="1" x14ac:dyDescent="0.55000000000000004">
      <c r="A97" s="157" t="s">
        <v>137</v>
      </c>
      <c r="B97" s="156"/>
      <c r="C97" s="161"/>
      <c r="D97" s="161">
        <f>D95-D91</f>
        <v>458.66284529397603</v>
      </c>
      <c r="E97" s="161">
        <f>E95-E91</f>
        <v>-607.926249052706</v>
      </c>
      <c r="F97" s="161">
        <f>F95-F91</f>
        <v>2661.7240386444701</v>
      </c>
      <c r="G97" s="161">
        <f>C93-G93</f>
        <v>619.49578253476125</v>
      </c>
      <c r="H97" s="161">
        <f>H95-H91</f>
        <v>1248.9204526991871</v>
      </c>
      <c r="I97" s="134"/>
      <c r="J97" s="134"/>
    </row>
    <row r="98" spans="1:10" ht="27.6" customHeight="1" x14ac:dyDescent="0.4">
      <c r="A98" s="134"/>
      <c r="B98" s="159"/>
      <c r="C98" s="159"/>
      <c r="D98" s="159"/>
      <c r="E98" s="159"/>
      <c r="F98" s="159"/>
      <c r="G98" s="159"/>
      <c r="H98" s="159"/>
      <c r="I98" s="134"/>
      <c r="J98" s="134"/>
    </row>
    <row r="99" spans="1:10" x14ac:dyDescent="0.4">
      <c r="A99" s="134"/>
      <c r="B99" s="134"/>
      <c r="C99" s="134"/>
      <c r="D99" s="134"/>
      <c r="E99" s="134"/>
      <c r="F99" s="134"/>
      <c r="G99" s="134"/>
      <c r="H99" s="134"/>
      <c r="I99" s="134"/>
      <c r="J99" s="134"/>
    </row>
    <row r="100" spans="1:10" x14ac:dyDescent="0.4">
      <c r="A100" s="134"/>
      <c r="B100" s="134"/>
      <c r="C100" s="134">
        <v>-6000</v>
      </c>
      <c r="D100" s="141">
        <f>(Start!$K$55+C100)/1000</f>
        <v>22</v>
      </c>
      <c r="E100" s="162">
        <f>IF(($G$86+C100)/$G$94&lt;0,0,($G$86+C100)/$G$94)</f>
        <v>0</v>
      </c>
      <c r="F100" s="162"/>
      <c r="G100" s="134">
        <v>7</v>
      </c>
      <c r="H100" s="134"/>
      <c r="I100" s="134"/>
      <c r="J100" s="134"/>
    </row>
    <row r="101" spans="1:10" x14ac:dyDescent="0.4">
      <c r="A101" s="134"/>
      <c r="B101" s="188" t="s">
        <v>130</v>
      </c>
      <c r="C101" s="134">
        <v>-5000</v>
      </c>
      <c r="D101" s="141">
        <f>(Start!$K$55+C101)/1000</f>
        <v>23</v>
      </c>
      <c r="E101" s="162">
        <f>IF(($G$86+C101)/$G$94&lt;0,0,($G$86+C101)/$G$94)</f>
        <v>0</v>
      </c>
      <c r="F101" s="162"/>
      <c r="G101" s="134">
        <v>7</v>
      </c>
      <c r="H101" s="134"/>
      <c r="I101" s="134"/>
      <c r="J101" s="134"/>
    </row>
    <row r="102" spans="1:10" x14ac:dyDescent="0.4">
      <c r="A102" s="134"/>
      <c r="B102" s="134"/>
      <c r="C102" s="134">
        <v>-4000</v>
      </c>
      <c r="D102" s="141">
        <f>(Start!$K$55+C102)/1000</f>
        <v>24</v>
      </c>
      <c r="E102" s="162">
        <f t="shared" ref="E102:E121" si="20">IF(($G$86+C102)/$G$94&lt;0,0,($G$86+C102)/$G$94)</f>
        <v>0</v>
      </c>
      <c r="F102" s="162"/>
      <c r="G102" s="134">
        <v>7</v>
      </c>
      <c r="H102" s="134"/>
      <c r="I102" s="134"/>
      <c r="J102" s="134"/>
    </row>
    <row r="103" spans="1:10" x14ac:dyDescent="0.4">
      <c r="A103" s="134"/>
      <c r="B103" s="134"/>
      <c r="C103" s="134">
        <v>-3000</v>
      </c>
      <c r="D103" s="141">
        <f>(Start!$K$55+C103)/1000</f>
        <v>25</v>
      </c>
      <c r="E103" s="162">
        <f t="shared" si="20"/>
        <v>0</v>
      </c>
      <c r="F103" s="162"/>
      <c r="G103" s="134">
        <v>7</v>
      </c>
      <c r="H103" s="134"/>
      <c r="I103" s="134"/>
      <c r="J103" s="134"/>
    </row>
    <row r="104" spans="1:10" x14ac:dyDescent="0.4">
      <c r="A104" s="134"/>
      <c r="B104" s="134"/>
      <c r="C104" s="134">
        <v>-2000</v>
      </c>
      <c r="D104" s="141">
        <f>(Start!$K$55+C104)/1000</f>
        <v>26</v>
      </c>
      <c r="E104" s="162">
        <f t="shared" si="20"/>
        <v>0</v>
      </c>
      <c r="F104" s="162"/>
      <c r="G104" s="134">
        <v>7</v>
      </c>
      <c r="H104" s="134"/>
      <c r="I104" s="134"/>
      <c r="J104" s="134"/>
    </row>
    <row r="105" spans="1:10" x14ac:dyDescent="0.4">
      <c r="A105" s="134"/>
      <c r="B105" s="134"/>
      <c r="C105" s="134">
        <v>-1000</v>
      </c>
      <c r="D105" s="141">
        <f>(Start!$K$55+C105)/1000</f>
        <v>27</v>
      </c>
      <c r="E105" s="162">
        <f t="shared" si="20"/>
        <v>0</v>
      </c>
      <c r="F105" s="162"/>
      <c r="G105" s="134">
        <v>7</v>
      </c>
      <c r="H105" s="134"/>
      <c r="I105" s="134"/>
      <c r="J105" s="134"/>
    </row>
    <row r="106" spans="1:10" x14ac:dyDescent="0.4">
      <c r="A106" s="134"/>
      <c r="B106" s="134"/>
      <c r="C106" s="134">
        <v>0</v>
      </c>
      <c r="D106" s="141">
        <f>(Start!$K$55+C106)/1000</f>
        <v>28</v>
      </c>
      <c r="E106" s="162">
        <f t="shared" si="20"/>
        <v>0</v>
      </c>
      <c r="F106" s="162"/>
      <c r="G106" s="134">
        <v>7</v>
      </c>
      <c r="H106" s="134"/>
      <c r="I106" s="134"/>
      <c r="J106" s="134"/>
    </row>
    <row r="107" spans="1:10" x14ac:dyDescent="0.4">
      <c r="A107" s="134"/>
      <c r="B107" s="134"/>
      <c r="C107" s="134">
        <v>1000</v>
      </c>
      <c r="D107" s="141">
        <f>(Start!$K$55+C107)/1000</f>
        <v>29</v>
      </c>
      <c r="E107" s="162">
        <f t="shared" si="20"/>
        <v>0</v>
      </c>
      <c r="F107" s="162"/>
      <c r="G107" s="134">
        <v>7</v>
      </c>
      <c r="H107" s="134"/>
      <c r="I107" s="134"/>
      <c r="J107" s="134"/>
    </row>
    <row r="108" spans="1:10" x14ac:dyDescent="0.4">
      <c r="A108" s="134"/>
      <c r="B108" s="134"/>
      <c r="C108" s="134">
        <v>2000</v>
      </c>
      <c r="D108" s="141">
        <f>(Start!$K$55+C108)/1000</f>
        <v>30</v>
      </c>
      <c r="E108" s="162">
        <f t="shared" si="20"/>
        <v>1.0542888376783113</v>
      </c>
      <c r="F108" s="162"/>
      <c r="G108" s="134">
        <v>7</v>
      </c>
      <c r="H108" s="134"/>
      <c r="I108" s="134"/>
      <c r="J108" s="134"/>
    </row>
    <row r="109" spans="1:10" x14ac:dyDescent="0.4">
      <c r="A109" s="134"/>
      <c r="B109" s="134"/>
      <c r="C109" s="134">
        <v>3000</v>
      </c>
      <c r="D109" s="141">
        <f>(Start!$K$55+C109)/1000</f>
        <v>31</v>
      </c>
      <c r="E109" s="162">
        <f t="shared" si="20"/>
        <v>2.5604157486473276</v>
      </c>
      <c r="F109" s="162"/>
      <c r="G109" s="134">
        <v>7</v>
      </c>
      <c r="H109" s="134"/>
      <c r="I109" s="134"/>
      <c r="J109" s="134"/>
    </row>
    <row r="110" spans="1:10" x14ac:dyDescent="0.4">
      <c r="A110" s="134"/>
      <c r="B110" s="134"/>
      <c r="C110" s="134">
        <v>4000</v>
      </c>
      <c r="D110" s="141">
        <f>(Start!$K$55+C110)/1000</f>
        <v>32</v>
      </c>
      <c r="E110" s="162">
        <f t="shared" si="20"/>
        <v>4.0665426596163439</v>
      </c>
      <c r="F110" s="162"/>
      <c r="G110" s="134">
        <v>7</v>
      </c>
      <c r="H110" s="134"/>
      <c r="I110" s="134"/>
      <c r="J110" s="134"/>
    </row>
    <row r="111" spans="1:10" x14ac:dyDescent="0.4">
      <c r="A111" s="134"/>
      <c r="B111" s="134"/>
      <c r="C111" s="134">
        <v>5000</v>
      </c>
      <c r="D111" s="141">
        <f>(Start!$K$55+C111)/1000</f>
        <v>33</v>
      </c>
      <c r="E111" s="162">
        <f t="shared" si="20"/>
        <v>5.5726695705853597</v>
      </c>
      <c r="F111" s="162"/>
      <c r="G111" s="134">
        <v>7</v>
      </c>
      <c r="H111" s="134"/>
      <c r="I111" s="134"/>
      <c r="J111" s="134"/>
    </row>
    <row r="112" spans="1:10" x14ac:dyDescent="0.4">
      <c r="A112" s="134"/>
      <c r="B112" s="134"/>
      <c r="C112" s="134">
        <v>6000</v>
      </c>
      <c r="D112" s="141">
        <f>(Start!$K$55+C112)/1000</f>
        <v>34</v>
      </c>
      <c r="E112" s="162">
        <f t="shared" si="20"/>
        <v>7.0787964815543756</v>
      </c>
      <c r="F112" s="162"/>
      <c r="G112" s="134">
        <v>7</v>
      </c>
      <c r="H112" s="134"/>
      <c r="I112" s="134"/>
      <c r="J112" s="134"/>
    </row>
    <row r="113" spans="1:10" x14ac:dyDescent="0.4">
      <c r="A113" s="134"/>
      <c r="B113" s="134"/>
      <c r="C113" s="134">
        <v>7000</v>
      </c>
      <c r="D113" s="141">
        <f>(Start!$K$55+C113)/1000</f>
        <v>35</v>
      </c>
      <c r="E113" s="162">
        <f t="shared" si="20"/>
        <v>8.5849233925233914</v>
      </c>
      <c r="F113" s="162"/>
      <c r="G113" s="134">
        <v>7</v>
      </c>
      <c r="H113" s="134"/>
      <c r="I113" s="134"/>
      <c r="J113" s="134"/>
    </row>
    <row r="114" spans="1:10" x14ac:dyDescent="0.4">
      <c r="A114" s="134"/>
      <c r="B114" s="134"/>
      <c r="C114" s="134">
        <v>8000</v>
      </c>
      <c r="D114" s="141">
        <f>(Start!$K$55+C114)/1000</f>
        <v>36</v>
      </c>
      <c r="E114" s="162">
        <f t="shared" si="20"/>
        <v>10.091050303492407</v>
      </c>
      <c r="F114" s="162"/>
      <c r="G114" s="134">
        <v>7</v>
      </c>
      <c r="H114" s="134"/>
      <c r="I114" s="134"/>
      <c r="J114" s="134"/>
    </row>
    <row r="115" spans="1:10" x14ac:dyDescent="0.4">
      <c r="A115" s="134"/>
      <c r="B115" s="134"/>
      <c r="C115" s="134">
        <v>9000</v>
      </c>
      <c r="D115" s="141">
        <f>(Start!$K$55+C115)/1000</f>
        <v>37</v>
      </c>
      <c r="E115" s="162">
        <f t="shared" si="20"/>
        <v>11.597177214461423</v>
      </c>
      <c r="F115" s="162"/>
      <c r="G115" s="134">
        <v>7</v>
      </c>
      <c r="H115" s="134"/>
      <c r="I115" s="134"/>
      <c r="J115" s="134"/>
    </row>
    <row r="116" spans="1:10" x14ac:dyDescent="0.4">
      <c r="A116" s="134"/>
      <c r="B116" s="134"/>
      <c r="C116" s="134">
        <v>10000</v>
      </c>
      <c r="D116" s="141">
        <f>(Start!$K$55+C116)/1000</f>
        <v>38</v>
      </c>
      <c r="E116" s="162">
        <f t="shared" si="20"/>
        <v>13.103304125430441</v>
      </c>
      <c r="F116" s="162"/>
      <c r="G116" s="134">
        <v>7</v>
      </c>
      <c r="H116" s="134"/>
      <c r="I116" s="134"/>
      <c r="J116" s="134"/>
    </row>
    <row r="117" spans="1:10" x14ac:dyDescent="0.4">
      <c r="A117" s="134"/>
      <c r="B117" s="134"/>
      <c r="C117" s="134">
        <v>11000</v>
      </c>
      <c r="D117" s="141">
        <f>(Start!$K$55+C117)/1000</f>
        <v>39</v>
      </c>
      <c r="E117" s="162">
        <f t="shared" si="20"/>
        <v>14.609431036399457</v>
      </c>
      <c r="F117" s="162"/>
      <c r="G117" s="134">
        <v>7</v>
      </c>
      <c r="H117" s="134"/>
      <c r="I117" s="134"/>
      <c r="J117" s="134"/>
    </row>
    <row r="118" spans="1:10" x14ac:dyDescent="0.4">
      <c r="A118" s="134"/>
      <c r="B118" s="134"/>
      <c r="C118" s="134">
        <v>12000</v>
      </c>
      <c r="D118" s="141">
        <f>(Start!$K$55+C118)/1000</f>
        <v>40</v>
      </c>
      <c r="E118" s="162">
        <f t="shared" si="20"/>
        <v>16.115557947368472</v>
      </c>
      <c r="F118" s="162"/>
      <c r="G118" s="134">
        <v>7</v>
      </c>
      <c r="H118" s="134"/>
      <c r="I118" s="134"/>
      <c r="J118" s="134"/>
    </row>
    <row r="119" spans="1:10" x14ac:dyDescent="0.4">
      <c r="A119" s="134"/>
      <c r="B119" s="134"/>
      <c r="C119" s="134">
        <v>13000</v>
      </c>
      <c r="D119" s="141">
        <f>(Start!$K$55+C119)/1000</f>
        <v>41</v>
      </c>
      <c r="E119" s="162">
        <f t="shared" si="20"/>
        <v>17.621684858337488</v>
      </c>
      <c r="F119" s="162"/>
      <c r="G119" s="134">
        <v>7</v>
      </c>
      <c r="H119" s="134"/>
      <c r="I119" s="134"/>
      <c r="J119" s="134"/>
    </row>
    <row r="120" spans="1:10" x14ac:dyDescent="0.4">
      <c r="A120" s="134"/>
      <c r="B120" s="134"/>
      <c r="C120" s="134">
        <v>14000</v>
      </c>
      <c r="D120" s="141">
        <f>(Start!$K$55+C120)/1000</f>
        <v>42</v>
      </c>
      <c r="E120" s="162">
        <f t="shared" si="20"/>
        <v>19.127811769306504</v>
      </c>
      <c r="F120" s="162"/>
      <c r="G120" s="134">
        <v>7</v>
      </c>
      <c r="H120" s="134"/>
      <c r="I120" s="134"/>
      <c r="J120" s="134"/>
    </row>
    <row r="121" spans="1:10" x14ac:dyDescent="0.4">
      <c r="A121" s="134"/>
      <c r="B121" s="134"/>
      <c r="C121" s="134">
        <v>15000</v>
      </c>
      <c r="D121" s="141">
        <f>(Start!$K$55+C121)/1000</f>
        <v>43</v>
      </c>
      <c r="E121" s="162">
        <f t="shared" si="20"/>
        <v>20.63393868027552</v>
      </c>
      <c r="F121" s="162"/>
      <c r="G121" s="134">
        <v>7</v>
      </c>
      <c r="H121" s="134"/>
      <c r="I121" s="134"/>
      <c r="J121" s="134"/>
    </row>
    <row r="122" spans="1:10" x14ac:dyDescent="0.4">
      <c r="A122" s="134"/>
      <c r="B122" s="134"/>
      <c r="C122" s="134"/>
      <c r="D122" s="134"/>
      <c r="E122" s="134"/>
      <c r="F122" s="134"/>
      <c r="G122" s="134"/>
      <c r="H122" s="134"/>
      <c r="I122" s="134"/>
      <c r="J122" s="134"/>
    </row>
    <row r="123" spans="1:10" x14ac:dyDescent="0.4">
      <c r="A123" s="134"/>
      <c r="B123" s="134"/>
      <c r="C123" s="134">
        <v>-6000</v>
      </c>
      <c r="D123" s="141">
        <f>(Start!$K$55+C123)/1000</f>
        <v>22</v>
      </c>
      <c r="E123" s="162">
        <f>IF(($G$87+C123)/$G$95&lt;0,0,($G$87+C123)/$G$95)</f>
        <v>1.2720474765779153</v>
      </c>
      <c r="F123" s="162"/>
      <c r="G123" s="134">
        <v>7</v>
      </c>
      <c r="H123" s="134"/>
      <c r="I123" s="134"/>
      <c r="J123" s="134"/>
    </row>
    <row r="124" spans="1:10" x14ac:dyDescent="0.4">
      <c r="A124" s="134"/>
      <c r="B124" s="188" t="s">
        <v>131</v>
      </c>
      <c r="C124" s="134">
        <v>-5000</v>
      </c>
      <c r="D124" s="141">
        <f>(Start!$K$55+C124)/1000</f>
        <v>23</v>
      </c>
      <c r="E124" s="162">
        <f>IF(($G$87+C124)/$G$95&lt;0,0,($G$87+C124)/$G$95)</f>
        <v>1.6112601369986925</v>
      </c>
      <c r="F124" s="162"/>
      <c r="G124" s="134">
        <v>7</v>
      </c>
      <c r="H124" s="134"/>
      <c r="I124" s="134"/>
      <c r="J124" s="134"/>
    </row>
    <row r="125" spans="1:10" x14ac:dyDescent="0.4">
      <c r="A125" s="134"/>
      <c r="B125" s="134"/>
      <c r="C125" s="134">
        <v>-4000</v>
      </c>
      <c r="D125" s="141">
        <f>(Start!$K$55+C125)/1000</f>
        <v>24</v>
      </c>
      <c r="E125" s="162">
        <f t="shared" ref="E125:E144" si="21">IF(($G$87+C125)/$G$95&lt;0,0,($G$87+C125)/$G$95)</f>
        <v>1.95047279741947</v>
      </c>
      <c r="F125" s="162"/>
      <c r="G125" s="134">
        <v>7</v>
      </c>
      <c r="H125" s="134"/>
      <c r="I125" s="134"/>
      <c r="J125" s="134"/>
    </row>
    <row r="126" spans="1:10" x14ac:dyDescent="0.4">
      <c r="A126" s="134"/>
      <c r="B126" s="134"/>
      <c r="C126" s="134">
        <v>-3000</v>
      </c>
      <c r="D126" s="141">
        <f>(Start!$K$55+C126)/1000</f>
        <v>25</v>
      </c>
      <c r="E126" s="162">
        <f t="shared" si="21"/>
        <v>2.2896854578402475</v>
      </c>
      <c r="F126" s="162"/>
      <c r="G126" s="134">
        <v>7</v>
      </c>
      <c r="H126" s="134"/>
      <c r="I126" s="134"/>
      <c r="J126" s="134"/>
    </row>
    <row r="127" spans="1:10" x14ac:dyDescent="0.4">
      <c r="A127" s="134"/>
      <c r="B127" s="134"/>
      <c r="C127" s="134">
        <v>-2000</v>
      </c>
      <c r="D127" s="141">
        <f>(Start!$K$55+C127)/1000</f>
        <v>26</v>
      </c>
      <c r="E127" s="162">
        <f t="shared" si="21"/>
        <v>2.6288981182610249</v>
      </c>
      <c r="F127" s="162"/>
      <c r="G127" s="134">
        <v>7</v>
      </c>
      <c r="H127" s="134"/>
      <c r="I127" s="134"/>
      <c r="J127" s="134"/>
    </row>
    <row r="128" spans="1:10" x14ac:dyDescent="0.4">
      <c r="A128" s="134"/>
      <c r="B128" s="134"/>
      <c r="C128" s="134">
        <v>-1000</v>
      </c>
      <c r="D128" s="141">
        <f>(Start!$K$55+C128)/1000</f>
        <v>27</v>
      </c>
      <c r="E128" s="162">
        <f t="shared" si="21"/>
        <v>2.968110778681802</v>
      </c>
      <c r="F128" s="162"/>
      <c r="G128" s="134">
        <v>7</v>
      </c>
      <c r="H128" s="134"/>
      <c r="I128" s="134"/>
      <c r="J128" s="134"/>
    </row>
    <row r="129" spans="1:10" x14ac:dyDescent="0.4">
      <c r="A129" s="134"/>
      <c r="B129" s="134"/>
      <c r="C129" s="134">
        <v>0</v>
      </c>
      <c r="D129" s="141">
        <f>(Start!$K$55+C129)/1000</f>
        <v>28</v>
      </c>
      <c r="E129" s="162">
        <f t="shared" si="21"/>
        <v>3.3073234391025794</v>
      </c>
      <c r="F129" s="162"/>
      <c r="G129" s="134">
        <v>7</v>
      </c>
      <c r="H129" s="134"/>
      <c r="I129" s="134"/>
      <c r="J129" s="134"/>
    </row>
    <row r="130" spans="1:10" x14ac:dyDescent="0.4">
      <c r="A130" s="134"/>
      <c r="B130" s="134"/>
      <c r="C130" s="134">
        <v>1000</v>
      </c>
      <c r="D130" s="141">
        <f>(Start!$K$55+C130)/1000</f>
        <v>29</v>
      </c>
      <c r="E130" s="162">
        <f t="shared" si="21"/>
        <v>3.6465360995233569</v>
      </c>
      <c r="F130" s="162"/>
      <c r="G130" s="134">
        <v>7</v>
      </c>
      <c r="H130" s="134"/>
      <c r="I130" s="134"/>
      <c r="J130" s="134"/>
    </row>
    <row r="131" spans="1:10" x14ac:dyDescent="0.4">
      <c r="A131" s="134"/>
      <c r="B131" s="134"/>
      <c r="C131" s="134">
        <v>2000</v>
      </c>
      <c r="D131" s="141">
        <f>(Start!$K$55+C131)/1000</f>
        <v>30</v>
      </c>
      <c r="E131" s="162">
        <f t="shared" si="21"/>
        <v>3.9857487599441344</v>
      </c>
      <c r="F131" s="162"/>
      <c r="G131" s="134">
        <v>7</v>
      </c>
      <c r="H131" s="134"/>
      <c r="I131" s="134"/>
      <c r="J131" s="134"/>
    </row>
    <row r="132" spans="1:10" x14ac:dyDescent="0.4">
      <c r="A132" s="134"/>
      <c r="B132" s="134"/>
      <c r="C132" s="134">
        <v>3000</v>
      </c>
      <c r="D132" s="141">
        <f>(Start!$K$55+C132)/1000</f>
        <v>31</v>
      </c>
      <c r="E132" s="162">
        <f t="shared" si="21"/>
        <v>4.3249614203649118</v>
      </c>
      <c r="F132" s="162"/>
      <c r="G132" s="134">
        <v>7</v>
      </c>
      <c r="H132" s="134"/>
      <c r="I132" s="134"/>
      <c r="J132" s="134"/>
    </row>
    <row r="133" spans="1:10" x14ac:dyDescent="0.4">
      <c r="A133" s="134"/>
      <c r="B133" s="134"/>
      <c r="C133" s="134">
        <v>4000</v>
      </c>
      <c r="D133" s="141">
        <f>(Start!$K$55+C133)/1000</f>
        <v>32</v>
      </c>
      <c r="E133" s="162">
        <f t="shared" si="21"/>
        <v>4.6641740807856893</v>
      </c>
      <c r="F133" s="162"/>
      <c r="G133" s="134">
        <v>7</v>
      </c>
      <c r="H133" s="134"/>
      <c r="I133" s="134"/>
      <c r="J133" s="134"/>
    </row>
    <row r="134" spans="1:10" x14ac:dyDescent="0.4">
      <c r="A134" s="134"/>
      <c r="B134" s="134"/>
      <c r="C134" s="134">
        <v>5000</v>
      </c>
      <c r="D134" s="141">
        <f>(Start!$K$55+C134)/1000</f>
        <v>33</v>
      </c>
      <c r="E134" s="162">
        <f t="shared" si="21"/>
        <v>5.0033867412064668</v>
      </c>
      <c r="F134" s="162"/>
      <c r="G134" s="134">
        <v>7</v>
      </c>
      <c r="H134" s="134"/>
      <c r="I134" s="134"/>
      <c r="J134" s="134"/>
    </row>
    <row r="135" spans="1:10" x14ac:dyDescent="0.4">
      <c r="A135" s="134"/>
      <c r="B135" s="134"/>
      <c r="C135" s="134">
        <v>6000</v>
      </c>
      <c r="D135" s="141">
        <f>(Start!$K$55+C135)/1000</f>
        <v>34</v>
      </c>
      <c r="E135" s="162">
        <f t="shared" si="21"/>
        <v>5.3425994016272442</v>
      </c>
      <c r="F135" s="162"/>
      <c r="G135" s="134">
        <v>7</v>
      </c>
      <c r="H135" s="134"/>
      <c r="I135" s="134"/>
      <c r="J135" s="134"/>
    </row>
    <row r="136" spans="1:10" x14ac:dyDescent="0.4">
      <c r="A136" s="134"/>
      <c r="B136" s="134"/>
      <c r="C136" s="134">
        <v>7000</v>
      </c>
      <c r="D136" s="141">
        <f>(Start!$K$55+C136)/1000</f>
        <v>35</v>
      </c>
      <c r="E136" s="162">
        <f t="shared" si="21"/>
        <v>5.6818120620480217</v>
      </c>
      <c r="F136" s="162"/>
      <c r="G136" s="134">
        <v>7</v>
      </c>
      <c r="H136" s="134"/>
      <c r="I136" s="134"/>
      <c r="J136" s="134"/>
    </row>
    <row r="137" spans="1:10" x14ac:dyDescent="0.4">
      <c r="A137" s="134"/>
      <c r="B137" s="134"/>
      <c r="C137" s="134">
        <v>8000</v>
      </c>
      <c r="D137" s="141">
        <f>(Start!$K$55+C137)/1000</f>
        <v>36</v>
      </c>
      <c r="E137" s="162">
        <f t="shared" si="21"/>
        <v>6.0210247224687983</v>
      </c>
      <c r="F137" s="162"/>
      <c r="G137" s="134">
        <v>7</v>
      </c>
      <c r="H137" s="134"/>
      <c r="I137" s="134"/>
      <c r="J137" s="134"/>
    </row>
    <row r="138" spans="1:10" x14ac:dyDescent="0.4">
      <c r="A138" s="134"/>
      <c r="B138" s="134"/>
      <c r="C138" s="134">
        <v>9000</v>
      </c>
      <c r="D138" s="141">
        <f>(Start!$K$55+C138)/1000</f>
        <v>37</v>
      </c>
      <c r="E138" s="162">
        <f t="shared" si="21"/>
        <v>6.3602373828895757</v>
      </c>
      <c r="F138" s="162"/>
      <c r="G138" s="134">
        <v>7</v>
      </c>
      <c r="H138" s="134"/>
      <c r="I138" s="134"/>
      <c r="J138" s="134"/>
    </row>
    <row r="139" spans="1:10" x14ac:dyDescent="0.4">
      <c r="A139" s="134"/>
      <c r="B139" s="134"/>
      <c r="C139" s="134">
        <v>10000</v>
      </c>
      <c r="D139" s="141">
        <f>(Start!$K$55+C139)/1000</f>
        <v>38</v>
      </c>
      <c r="E139" s="162">
        <f t="shared" si="21"/>
        <v>6.6994500433103532</v>
      </c>
      <c r="F139" s="162"/>
      <c r="G139" s="134">
        <v>7</v>
      </c>
      <c r="H139" s="134"/>
      <c r="I139" s="134"/>
      <c r="J139" s="134"/>
    </row>
    <row r="140" spans="1:10" x14ac:dyDescent="0.4">
      <c r="A140" s="134"/>
      <c r="B140" s="134"/>
      <c r="C140" s="134">
        <v>11000</v>
      </c>
      <c r="D140" s="141">
        <f>(Start!$K$55+C140)/1000</f>
        <v>39</v>
      </c>
      <c r="E140" s="162">
        <f t="shared" si="21"/>
        <v>7.0386627037311307</v>
      </c>
      <c r="F140" s="162"/>
      <c r="G140" s="134">
        <v>7</v>
      </c>
      <c r="H140" s="134"/>
      <c r="I140" s="134"/>
      <c r="J140" s="134"/>
    </row>
    <row r="141" spans="1:10" x14ac:dyDescent="0.4">
      <c r="A141" s="134"/>
      <c r="B141" s="134"/>
      <c r="C141" s="134">
        <v>12000</v>
      </c>
      <c r="D141" s="141">
        <f>(Start!$K$55+C141)/1000</f>
        <v>40</v>
      </c>
      <c r="E141" s="162">
        <f t="shared" si="21"/>
        <v>7.3778753641519081</v>
      </c>
      <c r="F141" s="162"/>
      <c r="G141" s="134">
        <v>7</v>
      </c>
      <c r="H141" s="134"/>
      <c r="I141" s="134"/>
      <c r="J141" s="134"/>
    </row>
    <row r="142" spans="1:10" x14ac:dyDescent="0.4">
      <c r="A142" s="134"/>
      <c r="B142" s="134"/>
      <c r="C142" s="134">
        <v>13000</v>
      </c>
      <c r="D142" s="141">
        <f>(Start!$K$55+C142)/1000</f>
        <v>41</v>
      </c>
      <c r="E142" s="162">
        <f t="shared" si="21"/>
        <v>7.7170880245726856</v>
      </c>
      <c r="F142" s="162"/>
      <c r="G142" s="134">
        <v>7</v>
      </c>
      <c r="H142" s="134"/>
      <c r="I142" s="134"/>
      <c r="J142" s="134"/>
    </row>
    <row r="143" spans="1:10" x14ac:dyDescent="0.4">
      <c r="A143" s="134"/>
      <c r="B143" s="134"/>
      <c r="C143" s="134">
        <v>14000</v>
      </c>
      <c r="D143" s="141">
        <f>(Start!$K$55+C143)/1000</f>
        <v>42</v>
      </c>
      <c r="E143" s="162">
        <f t="shared" si="21"/>
        <v>8.0563006849934631</v>
      </c>
      <c r="F143" s="162"/>
      <c r="G143" s="134">
        <v>7</v>
      </c>
      <c r="H143" s="134"/>
      <c r="I143" s="134"/>
      <c r="J143" s="134"/>
    </row>
    <row r="144" spans="1:10" x14ac:dyDescent="0.4">
      <c r="A144" s="134"/>
      <c r="B144" s="134"/>
      <c r="C144" s="134">
        <v>15000</v>
      </c>
      <c r="D144" s="141">
        <f>(Start!$K$55+C144)/1000</f>
        <v>43</v>
      </c>
      <c r="E144" s="162">
        <f t="shared" si="21"/>
        <v>8.3955133454142405</v>
      </c>
      <c r="F144" s="162"/>
      <c r="G144" s="134">
        <v>7</v>
      </c>
      <c r="H144" s="134"/>
      <c r="I144" s="134"/>
      <c r="J144" s="134"/>
    </row>
    <row r="145" spans="1:10" x14ac:dyDescent="0.4">
      <c r="A145" s="134"/>
      <c r="B145" s="134"/>
      <c r="C145" s="134"/>
      <c r="D145" s="134"/>
      <c r="E145" s="134"/>
      <c r="F145" s="134"/>
      <c r="G145" s="134"/>
      <c r="H145" s="134"/>
      <c r="I145" s="134"/>
      <c r="J145" s="134"/>
    </row>
    <row r="146" spans="1:10" x14ac:dyDescent="0.4">
      <c r="A146" s="134"/>
      <c r="B146" s="188" t="s">
        <v>129</v>
      </c>
      <c r="C146" s="134">
        <v>-10000</v>
      </c>
      <c r="D146" s="141">
        <f>(Start!$K$55+C146)/1000</f>
        <v>18</v>
      </c>
      <c r="E146" s="162">
        <f>IF(($G$88+C146)/$G$96&lt;0,0,($G$88+C146)/$G$96)</f>
        <v>0</v>
      </c>
      <c r="F146" s="162"/>
      <c r="G146" s="134">
        <v>7</v>
      </c>
      <c r="H146" s="134"/>
      <c r="I146" s="134"/>
      <c r="J146" s="134"/>
    </row>
    <row r="147" spans="1:10" x14ac:dyDescent="0.4">
      <c r="A147" s="134"/>
      <c r="B147" s="134"/>
      <c r="C147" s="134">
        <v>-9000</v>
      </c>
      <c r="D147" s="141">
        <f>(Start!$K$55+C147)/1000</f>
        <v>19</v>
      </c>
      <c r="E147" s="162">
        <f t="shared" ref="E147:E171" si="22">IF(($G$88+C147)/$G$96&lt;0,0,($G$88+C147)/$G$96)</f>
        <v>0</v>
      </c>
      <c r="F147" s="162"/>
      <c r="G147" s="134">
        <v>7</v>
      </c>
      <c r="H147" s="134"/>
      <c r="I147" s="134"/>
      <c r="J147" s="134"/>
    </row>
    <row r="148" spans="1:10" x14ac:dyDescent="0.4">
      <c r="A148" s="134"/>
      <c r="B148" s="134"/>
      <c r="C148" s="134">
        <v>-8000</v>
      </c>
      <c r="D148" s="141">
        <f>(Start!$K$55+C148)/1000</f>
        <v>20</v>
      </c>
      <c r="E148" s="162">
        <f t="shared" si="22"/>
        <v>0</v>
      </c>
      <c r="F148" s="162"/>
      <c r="G148" s="134">
        <v>7</v>
      </c>
      <c r="H148" s="134"/>
      <c r="I148" s="134"/>
      <c r="J148" s="134"/>
    </row>
    <row r="149" spans="1:10" x14ac:dyDescent="0.4">
      <c r="A149" s="134"/>
      <c r="B149" s="134"/>
      <c r="C149" s="134">
        <v>-7000</v>
      </c>
      <c r="D149" s="141">
        <f>(Start!$K$55+C149)/1000</f>
        <v>21</v>
      </c>
      <c r="E149" s="162">
        <f t="shared" si="22"/>
        <v>0</v>
      </c>
      <c r="F149" s="162"/>
      <c r="G149" s="134">
        <v>7</v>
      </c>
      <c r="H149" s="134"/>
      <c r="I149" s="134"/>
      <c r="J149" s="134"/>
    </row>
    <row r="150" spans="1:10" x14ac:dyDescent="0.4">
      <c r="A150" s="134"/>
      <c r="B150" s="134"/>
      <c r="C150" s="134">
        <v>-6000</v>
      </c>
      <c r="D150" s="141">
        <f>(Start!$K$55+C150)/1000</f>
        <v>22</v>
      </c>
      <c r="E150" s="162">
        <f t="shared" si="22"/>
        <v>0</v>
      </c>
      <c r="F150" s="162"/>
      <c r="G150" s="134">
        <v>7</v>
      </c>
      <c r="H150" s="134"/>
      <c r="I150" s="134"/>
      <c r="J150" s="134"/>
    </row>
    <row r="151" spans="1:10" x14ac:dyDescent="0.4">
      <c r="A151" s="134"/>
      <c r="B151" s="134"/>
      <c r="C151" s="134">
        <v>-5000</v>
      </c>
      <c r="D151" s="141">
        <f>(Start!$K$55+C151)/1000</f>
        <v>23</v>
      </c>
      <c r="E151" s="162">
        <f t="shared" si="22"/>
        <v>0</v>
      </c>
      <c r="F151" s="162"/>
      <c r="G151" s="134">
        <v>7</v>
      </c>
      <c r="H151" s="134"/>
      <c r="I151" s="134"/>
      <c r="J151" s="134"/>
    </row>
    <row r="152" spans="1:10" x14ac:dyDescent="0.4">
      <c r="A152" s="134"/>
      <c r="B152" s="134"/>
      <c r="C152" s="134">
        <v>-4000</v>
      </c>
      <c r="D152" s="141">
        <f>(Start!$K$55+C152)/1000</f>
        <v>24</v>
      </c>
      <c r="E152" s="162">
        <f t="shared" si="22"/>
        <v>0</v>
      </c>
      <c r="F152" s="162"/>
      <c r="G152" s="134">
        <v>7</v>
      </c>
      <c r="H152" s="134"/>
      <c r="I152" s="134"/>
      <c r="J152" s="134"/>
    </row>
    <row r="153" spans="1:10" x14ac:dyDescent="0.4">
      <c r="A153" s="134"/>
      <c r="B153" s="134"/>
      <c r="C153" s="134">
        <v>-3000</v>
      </c>
      <c r="D153" s="141">
        <f>(Start!$K$55+C153)/1000</f>
        <v>25</v>
      </c>
      <c r="E153" s="162">
        <f t="shared" si="22"/>
        <v>0</v>
      </c>
      <c r="F153" s="162"/>
      <c r="G153" s="134">
        <v>7</v>
      </c>
      <c r="H153" s="134"/>
      <c r="I153" s="134"/>
      <c r="J153" s="134"/>
    </row>
    <row r="154" spans="1:10" x14ac:dyDescent="0.4">
      <c r="A154" s="134"/>
      <c r="B154" s="134"/>
      <c r="C154" s="134">
        <v>-2000</v>
      </c>
      <c r="D154" s="141">
        <f>(Start!$K$55+C154)/1000</f>
        <v>26</v>
      </c>
      <c r="E154" s="162">
        <f t="shared" si="22"/>
        <v>0</v>
      </c>
      <c r="F154" s="162"/>
      <c r="G154" s="134">
        <v>7</v>
      </c>
      <c r="H154" s="134"/>
      <c r="I154" s="134"/>
      <c r="J154" s="134"/>
    </row>
    <row r="155" spans="1:10" x14ac:dyDescent="0.4">
      <c r="A155" s="134"/>
      <c r="B155" s="134"/>
      <c r="C155" s="134">
        <v>-1000</v>
      </c>
      <c r="D155" s="141">
        <f>(Start!$K$55+C155)/1000</f>
        <v>27</v>
      </c>
      <c r="E155" s="162">
        <f t="shared" si="22"/>
        <v>0</v>
      </c>
      <c r="F155" s="162"/>
      <c r="G155" s="134">
        <v>7</v>
      </c>
      <c r="H155" s="134"/>
      <c r="I155" s="134"/>
      <c r="J155" s="134"/>
    </row>
    <row r="156" spans="1:10" x14ac:dyDescent="0.4">
      <c r="A156" s="134"/>
      <c r="B156" s="134"/>
      <c r="C156" s="134">
        <v>0</v>
      </c>
      <c r="D156" s="141">
        <f>(Start!$K$55+C156)/1000</f>
        <v>28</v>
      </c>
      <c r="E156" s="162">
        <f t="shared" si="22"/>
        <v>0</v>
      </c>
      <c r="F156" s="162"/>
      <c r="G156" s="134">
        <v>7</v>
      </c>
      <c r="H156" s="134"/>
      <c r="I156" s="134"/>
      <c r="J156" s="134"/>
    </row>
    <row r="157" spans="1:10" x14ac:dyDescent="0.4">
      <c r="A157" s="134"/>
      <c r="B157" s="134"/>
      <c r="C157" s="134">
        <v>1000</v>
      </c>
      <c r="D157" s="141">
        <f>(Start!$K$55+C157)/1000</f>
        <v>29</v>
      </c>
      <c r="E157" s="162">
        <f t="shared" si="22"/>
        <v>0</v>
      </c>
      <c r="F157" s="162"/>
      <c r="G157" s="134">
        <v>7</v>
      </c>
      <c r="H157" s="134"/>
      <c r="I157" s="134"/>
      <c r="J157" s="134"/>
    </row>
    <row r="158" spans="1:10" x14ac:dyDescent="0.4">
      <c r="A158" s="134"/>
      <c r="B158" s="134"/>
      <c r="C158" s="134">
        <v>2000</v>
      </c>
      <c r="D158" s="141">
        <f>(Start!$K$55+C158)/1000</f>
        <v>30</v>
      </c>
      <c r="E158" s="162">
        <f t="shared" si="22"/>
        <v>0</v>
      </c>
      <c r="F158" s="162"/>
      <c r="G158" s="134">
        <v>7</v>
      </c>
      <c r="H158" s="134"/>
      <c r="I158" s="134"/>
      <c r="J158" s="134"/>
    </row>
    <row r="159" spans="1:10" x14ac:dyDescent="0.4">
      <c r="A159" s="134"/>
      <c r="B159" s="134"/>
      <c r="C159" s="134">
        <v>3000</v>
      </c>
      <c r="D159" s="141">
        <f>(Start!$K$55+C159)/1000</f>
        <v>31</v>
      </c>
      <c r="E159" s="162">
        <f t="shared" si="22"/>
        <v>0</v>
      </c>
      <c r="F159" s="162"/>
      <c r="G159" s="134">
        <v>7</v>
      </c>
      <c r="H159" s="134"/>
      <c r="I159" s="134"/>
      <c r="J159" s="134"/>
    </row>
    <row r="160" spans="1:10" x14ac:dyDescent="0.4">
      <c r="A160" s="134"/>
      <c r="B160" s="134"/>
      <c r="C160" s="134">
        <v>4000</v>
      </c>
      <c r="D160" s="141">
        <f>(Start!$K$55+C160)/1000</f>
        <v>32</v>
      </c>
      <c r="E160" s="162">
        <f t="shared" si="22"/>
        <v>0</v>
      </c>
      <c r="F160" s="162"/>
      <c r="G160" s="134">
        <v>7</v>
      </c>
      <c r="H160" s="134"/>
      <c r="I160" s="134"/>
      <c r="J160" s="134"/>
    </row>
    <row r="161" spans="1:10" x14ac:dyDescent="0.4">
      <c r="A161" s="134"/>
      <c r="B161" s="134"/>
      <c r="C161" s="134">
        <v>5000</v>
      </c>
      <c r="D161" s="141">
        <f>(Start!$K$55+C161)/1000</f>
        <v>33</v>
      </c>
      <c r="E161" s="162">
        <f t="shared" si="22"/>
        <v>0</v>
      </c>
      <c r="F161" s="162"/>
      <c r="G161" s="134">
        <v>7</v>
      </c>
      <c r="H161" s="134"/>
      <c r="I161" s="134"/>
      <c r="J161" s="134"/>
    </row>
    <row r="162" spans="1:10" x14ac:dyDescent="0.4">
      <c r="A162" s="134"/>
      <c r="B162" s="134"/>
      <c r="C162" s="134">
        <v>6000</v>
      </c>
      <c r="D162" s="141">
        <f>(Start!$K$55+C162)/1000</f>
        <v>34</v>
      </c>
      <c r="E162" s="162">
        <f t="shared" si="22"/>
        <v>0</v>
      </c>
      <c r="F162" s="162"/>
      <c r="G162" s="134">
        <v>7</v>
      </c>
      <c r="H162" s="134"/>
      <c r="I162" s="134"/>
      <c r="J162" s="134"/>
    </row>
    <row r="163" spans="1:10" x14ac:dyDescent="0.4">
      <c r="A163" s="134"/>
      <c r="B163" s="134"/>
      <c r="C163" s="134">
        <v>7000</v>
      </c>
      <c r="D163" s="141">
        <f>(Start!$K$55+C163)/1000</f>
        <v>35</v>
      </c>
      <c r="E163" s="162">
        <f t="shared" si="22"/>
        <v>0</v>
      </c>
      <c r="F163" s="162"/>
      <c r="G163" s="134">
        <v>7</v>
      </c>
      <c r="H163" s="134"/>
      <c r="I163" s="134"/>
      <c r="J163" s="134"/>
    </row>
    <row r="164" spans="1:10" x14ac:dyDescent="0.4">
      <c r="A164" s="134"/>
      <c r="B164" s="134"/>
      <c r="C164" s="134">
        <v>8000</v>
      </c>
      <c r="D164" s="141">
        <f>(Start!$K$55+C164)/1000</f>
        <v>36</v>
      </c>
      <c r="E164" s="162">
        <f t="shared" si="22"/>
        <v>0</v>
      </c>
      <c r="F164" s="162"/>
      <c r="G164" s="134">
        <v>7</v>
      </c>
      <c r="H164" s="134"/>
      <c r="I164" s="134"/>
      <c r="J164" s="134"/>
    </row>
    <row r="165" spans="1:10" x14ac:dyDescent="0.4">
      <c r="A165" s="134"/>
      <c r="B165" s="134"/>
      <c r="C165" s="134">
        <v>9000</v>
      </c>
      <c r="D165" s="141">
        <f>(Start!$K$55+C165)/1000</f>
        <v>37</v>
      </c>
      <c r="E165" s="162">
        <f t="shared" si="22"/>
        <v>0</v>
      </c>
      <c r="F165" s="162"/>
      <c r="G165" s="134">
        <v>7</v>
      </c>
      <c r="H165" s="134"/>
      <c r="I165" s="134"/>
      <c r="J165" s="134"/>
    </row>
    <row r="166" spans="1:10" x14ac:dyDescent="0.4">
      <c r="A166" s="134"/>
      <c r="B166" s="134"/>
      <c r="C166" s="134">
        <v>10000</v>
      </c>
      <c r="D166" s="141">
        <f>(Start!$K$55+C166)/1000</f>
        <v>38</v>
      </c>
      <c r="E166" s="162">
        <f t="shared" si="22"/>
        <v>0</v>
      </c>
      <c r="F166" s="162"/>
      <c r="G166" s="134">
        <v>7</v>
      </c>
      <c r="H166" s="134"/>
      <c r="I166" s="134"/>
      <c r="J166" s="134"/>
    </row>
    <row r="167" spans="1:10" x14ac:dyDescent="0.4">
      <c r="A167" s="134"/>
      <c r="B167" s="134"/>
      <c r="C167" s="134">
        <v>11000</v>
      </c>
      <c r="D167" s="141">
        <f>(Start!$K$55+C167)/1000</f>
        <v>39</v>
      </c>
      <c r="E167" s="162">
        <f t="shared" si="22"/>
        <v>0</v>
      </c>
      <c r="F167" s="162"/>
      <c r="G167" s="134">
        <v>7</v>
      </c>
      <c r="H167" s="134"/>
      <c r="I167" s="134"/>
      <c r="J167" s="134"/>
    </row>
    <row r="168" spans="1:10" x14ac:dyDescent="0.4">
      <c r="A168" s="134"/>
      <c r="B168" s="134"/>
      <c r="C168" s="134">
        <v>12000</v>
      </c>
      <c r="D168" s="141">
        <f>(Start!$K$55+C168)/1000</f>
        <v>40</v>
      </c>
      <c r="E168" s="162">
        <f t="shared" si="22"/>
        <v>0</v>
      </c>
      <c r="F168" s="162"/>
      <c r="G168" s="134">
        <v>7</v>
      </c>
      <c r="H168" s="134"/>
      <c r="I168" s="134"/>
      <c r="J168" s="134"/>
    </row>
    <row r="169" spans="1:10" x14ac:dyDescent="0.4">
      <c r="A169" s="134"/>
      <c r="B169" s="134"/>
      <c r="C169" s="134">
        <v>13000</v>
      </c>
      <c r="D169" s="141">
        <f>(Start!$K$55+C169)/1000</f>
        <v>41</v>
      </c>
      <c r="E169" s="162">
        <f t="shared" si="22"/>
        <v>0</v>
      </c>
      <c r="F169" s="162"/>
      <c r="G169" s="134">
        <v>7</v>
      </c>
      <c r="H169" s="134"/>
      <c r="I169" s="134"/>
      <c r="J169" s="134"/>
    </row>
    <row r="170" spans="1:10" x14ac:dyDescent="0.4">
      <c r="A170" s="134"/>
      <c r="B170" s="134"/>
      <c r="C170" s="134">
        <v>14000</v>
      </c>
      <c r="D170" s="141">
        <f>(Start!$K$55+C170)/1000</f>
        <v>42</v>
      </c>
      <c r="E170" s="162">
        <f t="shared" si="22"/>
        <v>0</v>
      </c>
      <c r="F170" s="162"/>
      <c r="G170" s="134">
        <v>7</v>
      </c>
      <c r="H170" s="134"/>
      <c r="I170" s="134"/>
      <c r="J170" s="134"/>
    </row>
    <row r="171" spans="1:10" x14ac:dyDescent="0.4">
      <c r="A171" s="134"/>
      <c r="B171" s="134"/>
      <c r="C171" s="134">
        <v>15000</v>
      </c>
      <c r="D171" s="141">
        <f>(Start!$K$55+C171)/1000</f>
        <v>43</v>
      </c>
      <c r="E171" s="162">
        <f t="shared" si="22"/>
        <v>0</v>
      </c>
      <c r="F171" s="162"/>
      <c r="G171" s="134">
        <v>7</v>
      </c>
      <c r="H171" s="134"/>
      <c r="I171" s="134"/>
      <c r="J171" s="134"/>
    </row>
    <row r="172" spans="1:10" x14ac:dyDescent="0.4">
      <c r="A172" s="134"/>
      <c r="B172" s="134"/>
      <c r="C172" s="134"/>
      <c r="D172" s="134"/>
      <c r="E172" s="134"/>
      <c r="F172" s="134"/>
      <c r="G172" s="134"/>
      <c r="H172" s="134"/>
      <c r="I172" s="134"/>
      <c r="J172" s="134"/>
    </row>
    <row r="173" spans="1:10" x14ac:dyDescent="0.4">
      <c r="A173" s="134"/>
      <c r="B173" s="134"/>
      <c r="C173" s="134"/>
      <c r="D173" s="134"/>
      <c r="E173" s="134"/>
      <c r="F173" s="134"/>
      <c r="G173" s="134"/>
      <c r="H173" s="134"/>
      <c r="I173" s="134"/>
      <c r="J173" s="134"/>
    </row>
    <row r="174" spans="1:10" x14ac:dyDescent="0.4">
      <c r="A174" s="134"/>
      <c r="B174" s="188" t="s">
        <v>139</v>
      </c>
      <c r="C174" s="134">
        <v>-10000</v>
      </c>
      <c r="D174" s="141">
        <f>(Start!$K$55+C174)/1000</f>
        <v>18</v>
      </c>
      <c r="E174" s="162">
        <f>IF(($G$89+C174)/$G$97&lt;0,0,($G$89+C174)/$G$97)</f>
        <v>0</v>
      </c>
      <c r="F174" s="162"/>
      <c r="G174" s="134">
        <v>7</v>
      </c>
      <c r="J174" s="134"/>
    </row>
    <row r="175" spans="1:10" x14ac:dyDescent="0.4">
      <c r="A175" s="134"/>
      <c r="B175" s="134"/>
      <c r="C175" s="134">
        <v>-9000</v>
      </c>
      <c r="D175" s="141">
        <f>(Start!$K$55+C175)/1000</f>
        <v>19</v>
      </c>
      <c r="E175" s="162">
        <f t="shared" ref="E175:E199" si="23">IF(($G$89+C175)/$G$97&lt;0,0,($G$89+C175)/$G$97)</f>
        <v>0</v>
      </c>
      <c r="F175" s="162"/>
      <c r="G175" s="134">
        <v>7</v>
      </c>
      <c r="J175" s="134"/>
    </row>
    <row r="176" spans="1:10" x14ac:dyDescent="0.4">
      <c r="A176" s="134"/>
      <c r="B176" s="134"/>
      <c r="C176" s="134">
        <v>-8000</v>
      </c>
      <c r="D176" s="141">
        <f>(Start!$K$55+C176)/1000</f>
        <v>20</v>
      </c>
      <c r="E176" s="162">
        <f t="shared" si="23"/>
        <v>0</v>
      </c>
      <c r="F176" s="162"/>
      <c r="G176" s="134">
        <v>7</v>
      </c>
      <c r="J176" s="134"/>
    </row>
    <row r="177" spans="1:10" x14ac:dyDescent="0.4">
      <c r="A177" s="134"/>
      <c r="B177" s="134"/>
      <c r="C177" s="134">
        <v>-7000</v>
      </c>
      <c r="D177" s="141">
        <f>(Start!$K$55+C177)/1000</f>
        <v>21</v>
      </c>
      <c r="E177" s="162">
        <f t="shared" si="23"/>
        <v>0</v>
      </c>
      <c r="F177" s="162"/>
      <c r="G177" s="134">
        <v>7</v>
      </c>
      <c r="J177" s="134"/>
    </row>
    <row r="178" spans="1:10" x14ac:dyDescent="0.4">
      <c r="A178" s="134"/>
      <c r="B178" s="134"/>
      <c r="C178" s="134">
        <v>-6000</v>
      </c>
      <c r="D178" s="141">
        <f>(Start!$K$55+C178)/1000</f>
        <v>22</v>
      </c>
      <c r="E178" s="162">
        <f t="shared" si="23"/>
        <v>0</v>
      </c>
      <c r="F178" s="162"/>
      <c r="G178" s="134">
        <v>7</v>
      </c>
      <c r="J178" s="134"/>
    </row>
    <row r="179" spans="1:10" x14ac:dyDescent="0.4">
      <c r="A179" s="134"/>
      <c r="B179" s="134"/>
      <c r="C179" s="134">
        <v>-5000</v>
      </c>
      <c r="D179" s="141">
        <f>(Start!$K$55+C179)/1000</f>
        <v>23</v>
      </c>
      <c r="E179" s="162">
        <f t="shared" si="23"/>
        <v>0</v>
      </c>
      <c r="F179" s="162"/>
      <c r="G179" s="134">
        <v>7</v>
      </c>
      <c r="J179" s="134"/>
    </row>
    <row r="180" spans="1:10" x14ac:dyDescent="0.4">
      <c r="A180" s="134"/>
      <c r="B180" s="134"/>
      <c r="C180" s="134">
        <v>-4000</v>
      </c>
      <c r="D180" s="141">
        <f>(Start!$K$55+C180)/1000</f>
        <v>24</v>
      </c>
      <c r="E180" s="162">
        <f t="shared" si="23"/>
        <v>0</v>
      </c>
      <c r="F180" s="162"/>
      <c r="G180" s="134">
        <v>7</v>
      </c>
      <c r="J180" s="134"/>
    </row>
    <row r="181" spans="1:10" x14ac:dyDescent="0.4">
      <c r="A181" s="134"/>
      <c r="B181" s="134"/>
      <c r="C181" s="134">
        <v>-3000</v>
      </c>
      <c r="D181" s="141">
        <f>(Start!$K$55+C181)/1000</f>
        <v>25</v>
      </c>
      <c r="E181" s="162">
        <f t="shared" si="23"/>
        <v>0</v>
      </c>
      <c r="F181" s="162"/>
      <c r="G181" s="134">
        <v>7</v>
      </c>
      <c r="J181" s="134"/>
    </row>
    <row r="182" spans="1:10" x14ac:dyDescent="0.4">
      <c r="A182" s="134"/>
      <c r="B182" s="134"/>
      <c r="C182" s="134">
        <v>-2000</v>
      </c>
      <c r="D182" s="141">
        <f>(Start!$K$55+C182)/1000</f>
        <v>26</v>
      </c>
      <c r="E182" s="162">
        <f t="shared" si="23"/>
        <v>0</v>
      </c>
      <c r="F182" s="162"/>
      <c r="G182" s="134">
        <v>7</v>
      </c>
      <c r="J182" s="134"/>
    </row>
    <row r="183" spans="1:10" x14ac:dyDescent="0.4">
      <c r="A183" s="134"/>
      <c r="B183" s="134"/>
      <c r="C183" s="134">
        <v>-1000</v>
      </c>
      <c r="D183" s="141">
        <f>(Start!$K$55+C183)/1000</f>
        <v>27</v>
      </c>
      <c r="E183" s="162">
        <f t="shared" si="23"/>
        <v>0</v>
      </c>
      <c r="F183" s="162"/>
      <c r="G183" s="134">
        <v>7</v>
      </c>
      <c r="J183" s="134"/>
    </row>
    <row r="184" spans="1:10" x14ac:dyDescent="0.4">
      <c r="A184" s="134"/>
      <c r="B184" s="134"/>
      <c r="C184" s="134">
        <v>0</v>
      </c>
      <c r="D184" s="141">
        <f>(Start!$K$55+C184)/1000</f>
        <v>28</v>
      </c>
      <c r="E184" s="162">
        <f t="shared" si="23"/>
        <v>0</v>
      </c>
      <c r="F184" s="162"/>
      <c r="G184" s="134">
        <v>7</v>
      </c>
      <c r="J184" s="134"/>
    </row>
    <row r="185" spans="1:10" x14ac:dyDescent="0.4">
      <c r="A185" s="134"/>
      <c r="B185" s="134"/>
      <c r="C185" s="134">
        <v>1000</v>
      </c>
      <c r="D185" s="141">
        <f>(Start!$K$55+C185)/1000</f>
        <v>29</v>
      </c>
      <c r="E185" s="162">
        <f t="shared" si="23"/>
        <v>0</v>
      </c>
      <c r="F185" s="162"/>
      <c r="G185" s="134">
        <v>7</v>
      </c>
      <c r="J185" s="134"/>
    </row>
    <row r="186" spans="1:10" x14ac:dyDescent="0.4">
      <c r="A186" s="134"/>
      <c r="B186" s="134"/>
      <c r="C186" s="134">
        <v>2000</v>
      </c>
      <c r="D186" s="141">
        <f>(Start!$K$55+C186)/1000</f>
        <v>30</v>
      </c>
      <c r="E186" s="162">
        <f t="shared" si="23"/>
        <v>0</v>
      </c>
      <c r="F186" s="162"/>
      <c r="G186" s="134">
        <v>7</v>
      </c>
      <c r="J186" s="134"/>
    </row>
    <row r="187" spans="1:10" x14ac:dyDescent="0.4">
      <c r="A187" s="134"/>
      <c r="B187" s="134"/>
      <c r="C187" s="134">
        <v>3000</v>
      </c>
      <c r="D187" s="141">
        <f>(Start!$K$55+C187)/1000</f>
        <v>31</v>
      </c>
      <c r="E187" s="162">
        <f t="shared" si="23"/>
        <v>0</v>
      </c>
      <c r="F187" s="162"/>
      <c r="G187" s="134">
        <v>7</v>
      </c>
      <c r="J187" s="134"/>
    </row>
    <row r="188" spans="1:10" x14ac:dyDescent="0.4">
      <c r="A188" s="134"/>
      <c r="B188" s="134"/>
      <c r="C188" s="134">
        <v>4000</v>
      </c>
      <c r="D188" s="141">
        <f>(Start!$K$55+C188)/1000</f>
        <v>32</v>
      </c>
      <c r="E188" s="162">
        <f t="shared" si="23"/>
        <v>0</v>
      </c>
      <c r="F188" s="162"/>
      <c r="G188" s="134">
        <v>7</v>
      </c>
      <c r="J188" s="134"/>
    </row>
    <row r="189" spans="1:10" x14ac:dyDescent="0.4">
      <c r="A189" s="134"/>
      <c r="B189" s="134"/>
      <c r="C189" s="134">
        <v>5000</v>
      </c>
      <c r="D189" s="141">
        <f>(Start!$K$55+C189)/1000</f>
        <v>33</v>
      </c>
      <c r="E189" s="162">
        <f t="shared" si="23"/>
        <v>0</v>
      </c>
      <c r="F189" s="162"/>
      <c r="G189" s="134">
        <v>7</v>
      </c>
      <c r="J189" s="134"/>
    </row>
    <row r="190" spans="1:10" x14ac:dyDescent="0.4">
      <c r="A190" s="134"/>
      <c r="B190" s="134"/>
      <c r="C190" s="134">
        <v>6000</v>
      </c>
      <c r="D190" s="141">
        <f>(Start!$K$55+C190)/1000</f>
        <v>34</v>
      </c>
      <c r="E190" s="162">
        <f t="shared" si="23"/>
        <v>0</v>
      </c>
      <c r="F190" s="162"/>
      <c r="G190" s="134">
        <v>7</v>
      </c>
      <c r="J190" s="134"/>
    </row>
    <row r="191" spans="1:10" x14ac:dyDescent="0.4">
      <c r="A191" s="134"/>
      <c r="B191" s="134"/>
      <c r="C191" s="134">
        <v>7000</v>
      </c>
      <c r="D191" s="141">
        <f>(Start!$K$55+C191)/1000</f>
        <v>35</v>
      </c>
      <c r="E191" s="162">
        <f t="shared" si="23"/>
        <v>0</v>
      </c>
      <c r="F191" s="162"/>
      <c r="G191" s="134">
        <v>7</v>
      </c>
      <c r="J191" s="134"/>
    </row>
    <row r="192" spans="1:10" x14ac:dyDescent="0.4">
      <c r="A192" s="134"/>
      <c r="B192" s="134"/>
      <c r="C192" s="134">
        <v>8000</v>
      </c>
      <c r="D192" s="141">
        <f>(Start!$K$55+C192)/1000</f>
        <v>36</v>
      </c>
      <c r="E192" s="162">
        <f t="shared" si="23"/>
        <v>0</v>
      </c>
      <c r="F192" s="162"/>
      <c r="G192" s="134">
        <v>7</v>
      </c>
      <c r="J192" s="134"/>
    </row>
    <row r="193" spans="1:10" x14ac:dyDescent="0.4">
      <c r="A193" s="134"/>
      <c r="B193" s="134"/>
      <c r="C193" s="134">
        <v>9000</v>
      </c>
      <c r="D193" s="141">
        <f>(Start!$K$55+C193)/1000</f>
        <v>37</v>
      </c>
      <c r="E193" s="162">
        <f t="shared" si="23"/>
        <v>0</v>
      </c>
      <c r="F193" s="162"/>
      <c r="G193" s="134">
        <v>7</v>
      </c>
      <c r="J193" s="134"/>
    </row>
    <row r="194" spans="1:10" x14ac:dyDescent="0.4">
      <c r="A194" s="134"/>
      <c r="B194" s="134"/>
      <c r="C194" s="134">
        <v>10000</v>
      </c>
      <c r="D194" s="141">
        <f>(Start!$K$55+C194)/1000</f>
        <v>38</v>
      </c>
      <c r="E194" s="162">
        <f t="shared" si="23"/>
        <v>0</v>
      </c>
      <c r="F194" s="162"/>
      <c r="G194" s="134">
        <v>7</v>
      </c>
      <c r="J194" s="134"/>
    </row>
    <row r="195" spans="1:10" x14ac:dyDescent="0.4">
      <c r="A195" s="134"/>
      <c r="B195" s="134"/>
      <c r="C195" s="134">
        <v>11000</v>
      </c>
      <c r="D195" s="141">
        <f>(Start!$K$55+C195)/1000</f>
        <v>39</v>
      </c>
      <c r="E195" s="162">
        <f t="shared" si="23"/>
        <v>0</v>
      </c>
      <c r="F195" s="162"/>
      <c r="G195" s="134">
        <v>7</v>
      </c>
      <c r="J195" s="134"/>
    </row>
    <row r="196" spans="1:10" x14ac:dyDescent="0.4">
      <c r="A196" s="134"/>
      <c r="B196" s="134"/>
      <c r="C196" s="134">
        <v>12000</v>
      </c>
      <c r="D196" s="141">
        <f>(Start!$K$55+C196)/1000</f>
        <v>40</v>
      </c>
      <c r="E196" s="162">
        <f t="shared" si="23"/>
        <v>0</v>
      </c>
      <c r="F196" s="162"/>
      <c r="G196" s="134">
        <v>7</v>
      </c>
      <c r="J196" s="134"/>
    </row>
    <row r="197" spans="1:10" x14ac:dyDescent="0.4">
      <c r="A197" s="134"/>
      <c r="B197" s="134"/>
      <c r="C197" s="134">
        <v>13000</v>
      </c>
      <c r="D197" s="141">
        <f>(Start!$K$55+C197)/1000</f>
        <v>41</v>
      </c>
      <c r="E197" s="162">
        <f t="shared" si="23"/>
        <v>0</v>
      </c>
      <c r="F197" s="162"/>
      <c r="G197" s="134">
        <v>7</v>
      </c>
      <c r="J197" s="134"/>
    </row>
    <row r="198" spans="1:10" x14ac:dyDescent="0.4">
      <c r="A198" s="134"/>
      <c r="B198" s="134"/>
      <c r="C198" s="134">
        <v>14000</v>
      </c>
      <c r="D198" s="141">
        <f>(Start!$K$55+C198)/1000</f>
        <v>42</v>
      </c>
      <c r="E198" s="162">
        <f t="shared" si="23"/>
        <v>0</v>
      </c>
      <c r="F198" s="162"/>
      <c r="G198" s="134">
        <v>7</v>
      </c>
      <c r="J198" s="134"/>
    </row>
    <row r="199" spans="1:10" x14ac:dyDescent="0.4">
      <c r="A199" s="134"/>
      <c r="B199" s="134"/>
      <c r="C199" s="134">
        <v>15000</v>
      </c>
      <c r="D199" s="141">
        <f>(Start!$K$55+C199)/1000</f>
        <v>43</v>
      </c>
      <c r="E199" s="162">
        <f t="shared" si="23"/>
        <v>0</v>
      </c>
      <c r="F199" s="162"/>
      <c r="G199" s="134">
        <v>7</v>
      </c>
      <c r="J199" s="134"/>
    </row>
    <row r="200" spans="1:10" x14ac:dyDescent="0.4">
      <c r="A200" s="134"/>
      <c r="B200" s="134"/>
      <c r="C200" s="134"/>
      <c r="D200" s="134"/>
      <c r="E200" s="134"/>
      <c r="F200" s="134"/>
      <c r="G200" s="134"/>
      <c r="H200" s="134"/>
      <c r="I200" s="134"/>
      <c r="J200" s="134"/>
    </row>
    <row r="201" spans="1:10" x14ac:dyDescent="0.4">
      <c r="A201" s="134"/>
      <c r="B201" s="134"/>
      <c r="C201" s="134"/>
      <c r="D201" s="134"/>
      <c r="E201" s="134"/>
      <c r="F201" s="134"/>
      <c r="G201" s="134"/>
      <c r="H201" s="134"/>
      <c r="I201" s="134"/>
      <c r="J201" s="134"/>
    </row>
    <row r="202" spans="1:10" x14ac:dyDescent="0.4">
      <c r="A202" s="134"/>
      <c r="B202" s="134"/>
      <c r="C202" s="134"/>
      <c r="D202" s="134"/>
      <c r="E202" s="134"/>
      <c r="F202" s="134"/>
      <c r="G202" s="134"/>
      <c r="H202" s="134"/>
      <c r="I202" s="134"/>
      <c r="J202" s="134"/>
    </row>
    <row r="203" spans="1:10" x14ac:dyDescent="0.4">
      <c r="A203" s="134"/>
      <c r="B203" s="134"/>
      <c r="C203" s="134"/>
      <c r="D203" s="134"/>
      <c r="E203" s="134"/>
      <c r="F203" s="134"/>
      <c r="G203" s="134"/>
      <c r="H203" s="134"/>
      <c r="I203" s="134"/>
      <c r="J203" s="134"/>
    </row>
    <row r="204" spans="1:10" x14ac:dyDescent="0.4">
      <c r="A204" s="134"/>
      <c r="B204" s="134" t="str">
        <f t="shared" ref="B204:H204" si="24">B75</f>
        <v>Wariant A, KG-spr. 87%</v>
      </c>
      <c r="C204" s="134" t="str">
        <f t="shared" si="24"/>
        <v>Wariant B, Gaz PC-wsp. ef. 124%</v>
      </c>
      <c r="D204" s="134" t="str">
        <f t="shared" si="24"/>
        <v>Wariant C, Pelet-spr. 83%</v>
      </c>
      <c r="E204" s="134" t="str">
        <f t="shared" si="24"/>
        <v>Wariant D, KE-spr. 94%</v>
      </c>
      <c r="F204" s="134" t="str">
        <f t="shared" si="24"/>
        <v>Wariant E, PV+ PC P/W, SPF=3,45</v>
      </c>
      <c r="G204" s="134" t="str">
        <f t="shared" si="24"/>
        <v>Wariant F, PC P/W, SPF=3,45</v>
      </c>
      <c r="H204" s="134" t="str">
        <f t="shared" si="24"/>
        <v>Wariant G, PC S/W, SPF=3,75</v>
      </c>
      <c r="I204" s="134"/>
      <c r="J204" s="134"/>
    </row>
    <row r="205" spans="1:10" x14ac:dyDescent="0.4">
      <c r="A205" s="134"/>
      <c r="B205" s="141">
        <f>-B76</f>
        <v>-20900</v>
      </c>
      <c r="C205" s="141">
        <f t="shared" ref="C205:H205" si="25">-C76</f>
        <v>-38500</v>
      </c>
      <c r="D205" s="141">
        <f t="shared" si="25"/>
        <v>-34600</v>
      </c>
      <c r="E205" s="141">
        <f t="shared" si="25"/>
        <v>-9850</v>
      </c>
      <c r="F205" s="141">
        <f t="shared" si="25"/>
        <v>-30787.166666666664</v>
      </c>
      <c r="G205" s="141">
        <f t="shared" si="25"/>
        <v>-19600</v>
      </c>
      <c r="H205" s="141">
        <f t="shared" si="25"/>
        <v>-32200</v>
      </c>
      <c r="I205" s="134">
        <f>I76</f>
        <v>0</v>
      </c>
      <c r="J205" s="134"/>
    </row>
    <row r="206" spans="1:10" x14ac:dyDescent="0.4">
      <c r="A206" s="134"/>
      <c r="B206" s="150">
        <f t="shared" ref="B206:I206" si="26">B47</f>
        <v>2514.6943550955411</v>
      </c>
      <c r="C206" s="150">
        <f t="shared" si="26"/>
        <v>2470.2354650744437</v>
      </c>
      <c r="D206" s="150">
        <f t="shared" si="26"/>
        <v>2245.7878539941221</v>
      </c>
      <c r="E206" s="150">
        <f t="shared" si="26"/>
        <v>4798.7428577736109</v>
      </c>
      <c r="F206" s="150">
        <f t="shared" si="26"/>
        <v>879.63333333333333</v>
      </c>
      <c r="G206" s="150">
        <f t="shared" si="26"/>
        <v>1850.7396825396825</v>
      </c>
      <c r="H206" s="150">
        <f t="shared" si="26"/>
        <v>1599.6626984126983</v>
      </c>
      <c r="I206" s="150">
        <f t="shared" si="26"/>
        <v>0</v>
      </c>
      <c r="J206" s="134"/>
    </row>
    <row r="207" spans="1:10" x14ac:dyDescent="0.4">
      <c r="A207" s="134">
        <v>0</v>
      </c>
      <c r="B207" s="134">
        <f>$B$205</f>
        <v>-20900</v>
      </c>
      <c r="C207" s="134">
        <f>C$205</f>
        <v>-38500</v>
      </c>
      <c r="D207" s="134">
        <f t="shared" ref="D207:I207" si="27">D$205</f>
        <v>-34600</v>
      </c>
      <c r="E207" s="134">
        <f t="shared" si="27"/>
        <v>-9850</v>
      </c>
      <c r="F207" s="134">
        <f t="shared" si="27"/>
        <v>-30787.166666666664</v>
      </c>
      <c r="G207" s="134">
        <f t="shared" si="27"/>
        <v>-19600</v>
      </c>
      <c r="H207" s="134">
        <f t="shared" si="27"/>
        <v>-32200</v>
      </c>
      <c r="I207" s="134">
        <f t="shared" si="27"/>
        <v>0</v>
      </c>
      <c r="J207" s="134"/>
    </row>
    <row r="208" spans="1:10" x14ac:dyDescent="0.4">
      <c r="A208" s="134">
        <v>1</v>
      </c>
      <c r="B208" s="150">
        <f>'Wykres kosztów zakumulowanych'!C74</f>
        <v>-23399.988540153463</v>
      </c>
      <c r="C208" s="150">
        <f>'Wykres kosztów zakumulowanych'!D74</f>
        <v>-40955.789643641263</v>
      </c>
      <c r="D208" s="150">
        <f>'Wykres kosztów zakumulowanych'!E74</f>
        <v>-36832.654591690065</v>
      </c>
      <c r="E208" s="150">
        <f>'Wykres kosztów zakumulowanych'!F74</f>
        <v>-14620.68003404394</v>
      </c>
      <c r="F208" s="150">
        <f>'Wykres kosztów zakumulowanych'!G74</f>
        <v>-31661.655945419101</v>
      </c>
      <c r="G208" s="150">
        <f>'Wykres kosztów zakumulowanych'!H74</f>
        <v>-21439.916643460503</v>
      </c>
      <c r="H208" s="150">
        <f>'Wykres kosztów zakumulowanych'!I74</f>
        <v>-33790.307945790402</v>
      </c>
      <c r="I208" s="150">
        <f t="shared" ref="I208:I237" si="28">I$205+$A208*I$206</f>
        <v>0</v>
      </c>
      <c r="J208" s="134"/>
    </row>
    <row r="209" spans="1:10" x14ac:dyDescent="0.4">
      <c r="A209" s="134">
        <v>2</v>
      </c>
      <c r="B209" s="150">
        <f>'Wykres kosztów zakumulowanych'!C75</f>
        <v>-25885.357264282633</v>
      </c>
      <c r="C209" s="150">
        <f>'Wykres kosztów zakumulowanych'!D75</f>
        <v>-43397.217944337252</v>
      </c>
      <c r="D209" s="150">
        <f>'Wykres kosztów zakumulowanych'!E75</f>
        <v>-39052.252723779602</v>
      </c>
      <c r="E209" s="150">
        <f>'Wykres kosztów zakumulowanych'!F75</f>
        <v>-19363.461354438499</v>
      </c>
      <c r="F209" s="150">
        <f>'Wykres kosztów zakumulowanych'!G75</f>
        <v>-32531.031251781173</v>
      </c>
      <c r="G209" s="150">
        <f>'Wykres kosztów zakumulowanych'!H75</f>
        <v>-23269.07354046802</v>
      </c>
      <c r="H209" s="150">
        <f>'Wykres kosztów zakumulowanych'!I75</f>
        <v>-35371.315845114194</v>
      </c>
      <c r="I209" s="150">
        <f t="shared" si="28"/>
        <v>0</v>
      </c>
      <c r="J209" s="134"/>
    </row>
    <row r="210" spans="1:10" x14ac:dyDescent="0.4">
      <c r="A210" s="134">
        <v>3</v>
      </c>
      <c r="B210" s="150">
        <f>'Wykres kosztów zakumulowanych'!C76</f>
        <v>-28356.191668387663</v>
      </c>
      <c r="C210" s="150">
        <f>'Wykres kosztów zakumulowanych'!D76</f>
        <v>-45824.368886549637</v>
      </c>
      <c r="D210" s="150">
        <f>'Wykres kosztów zakumulowanych'!E76</f>
        <v>-41258.870749833528</v>
      </c>
      <c r="E210" s="150">
        <f>'Wykres kosztów zakumulowanych'!F76</f>
        <v>-24078.5071115559</v>
      </c>
      <c r="F210" s="150">
        <f>'Wykres kosztów zakumulowanych'!G76</f>
        <v>-33395.32249202417</v>
      </c>
      <c r="G210" s="150">
        <f>'Wykres kosztów zakumulowanych'!H76</f>
        <v>-25087.533613516433</v>
      </c>
      <c r="H210" s="150">
        <f>'Wykres kosztów zakumulowanych'!I76</f>
        <v>-36943.07808420802</v>
      </c>
      <c r="I210" s="150">
        <f t="shared" si="28"/>
        <v>0</v>
      </c>
      <c r="J210" s="134"/>
    </row>
    <row r="211" spans="1:10" x14ac:dyDescent="0.4">
      <c r="A211" s="134">
        <v>4</v>
      </c>
      <c r="B211" s="150">
        <f>'Wykres kosztów zakumulowanych'!C77</f>
        <v>-30812.576748492073</v>
      </c>
      <c r="C211" s="150">
        <f>'Wykres kosztów zakumulowanych'!D77</f>
        <v>-48237.325963602889</v>
      </c>
      <c r="D211" s="150">
        <f>'Wykres kosztów zakumulowanych'!E77</f>
        <v>-43452.584576904679</v>
      </c>
      <c r="E211" s="150">
        <f>'Wykres kosztów zakumulowanych'!F77</f>
        <v>-28765.979501672613</v>
      </c>
      <c r="F211" s="150">
        <f>'Wykres kosztów zakumulowanych'!G77</f>
        <v>-34254.559397528901</v>
      </c>
      <c r="G211" s="150">
        <f>'Wykres kosztów zakumulowanych'!H77</f>
        <v>-26895.359417131807</v>
      </c>
      <c r="H211" s="150">
        <f>'Wykres kosztów zakumulowanych'!I77</f>
        <v>-38505.648731260364</v>
      </c>
      <c r="I211" s="150">
        <f t="shared" si="28"/>
        <v>0</v>
      </c>
      <c r="J211" s="134"/>
    </row>
    <row r="212" spans="1:10" x14ac:dyDescent="0.4">
      <c r="A212" s="134">
        <v>5</v>
      </c>
      <c r="B212" s="150">
        <f>'Wykres kosztów zakumulowanych'!C78</f>
        <v>-33254.597003566632</v>
      </c>
      <c r="C212" s="150">
        <f>'Wykres kosztów zakumulowanych'!D78</f>
        <v>-50636.172180556416</v>
      </c>
      <c r="D212" s="150">
        <f>'Wykres kosztów zakumulowanych'!E78</f>
        <v>-45633.469668145</v>
      </c>
      <c r="E212" s="150">
        <f>'Wykres kosztów zakumulowanych'!F78</f>
        <v>-33426.039772548873</v>
      </c>
      <c r="F212" s="150">
        <f>'Wykres kosztów zakumulowanych'!G78</f>
        <v>-35108.771525808457</v>
      </c>
      <c r="G212" s="150">
        <f>'Wykres kosztów zakumulowanych'!H78</f>
        <v>-28692.613140024288</v>
      </c>
      <c r="H212" s="150">
        <f>'Wykres kosztów zakumulowanych'!I78</f>
        <v>-40059.081538271465</v>
      </c>
      <c r="I212" s="150">
        <f t="shared" si="28"/>
        <v>0</v>
      </c>
      <c r="J212" s="134"/>
    </row>
    <row r="213" spans="1:10" x14ac:dyDescent="0.4">
      <c r="A213" s="134">
        <v>6</v>
      </c>
      <c r="B213" s="150">
        <f>'Wykres kosztów zakumulowanych'!C79</f>
        <v>-35682.336438436076</v>
      </c>
      <c r="C213" s="150">
        <f>'Wykres kosztów zakumulowanych'!D79</f>
        <v>-53020.990057059913</v>
      </c>
      <c r="D213" s="150">
        <f>'Wykres kosztów zakumulowanych'!E79</f>
        <v>-47801.601045401469</v>
      </c>
      <c r="E213" s="150">
        <f>'Wykres kosztów zakumulowanych'!F79</f>
        <v>-38058.84822897557</v>
      </c>
      <c r="F213" s="150">
        <f>'Wykres kosztów zakumulowanych'!G79</f>
        <v>-35957.988261524973</v>
      </c>
      <c r="G213" s="150">
        <f>'Wykres kosztów zakumulowanych'!H79</f>
        <v>-30479.356607227339</v>
      </c>
      <c r="H213" s="150">
        <f>'Wykres kosztów zakumulowanych'!I79</f>
        <v>-41603.429942902389</v>
      </c>
      <c r="I213" s="150">
        <f t="shared" si="28"/>
        <v>0</v>
      </c>
      <c r="J213" s="134"/>
    </row>
    <row r="214" spans="1:10" x14ac:dyDescent="0.4">
      <c r="A214" s="134">
        <v>7</v>
      </c>
      <c r="B214" s="150">
        <f>'Wykres kosztów zakumulowanych'!C80</f>
        <v>-38095.878566668864</v>
      </c>
      <c r="C214" s="150">
        <f>'Wykres kosztów zakumulowanych'!D80</f>
        <v>-55391.861630192056</v>
      </c>
      <c r="D214" s="150">
        <f>'Wykres kosztów zakumulowanych'!E80</f>
        <v>-49957.053291796787</v>
      </c>
      <c r="E214" s="150">
        <f>'Wykres kosztów zakumulowanych'!F80</f>
        <v>-42664.564238288658</v>
      </c>
      <c r="F214" s="150">
        <f>'Wykres kosztów zakumulowanych'!G80</f>
        <v>-36802.23881750046</v>
      </c>
      <c r="G214" s="150">
        <f>'Wykres kosztów zakumulowanych'!H80</f>
        <v>-32255.651282224528</v>
      </c>
      <c r="H214" s="150">
        <f>'Wykres kosztów zakumulowanych'!I80</f>
        <v>-43138.747070313242</v>
      </c>
      <c r="I214" s="150">
        <f t="shared" si="28"/>
        <v>0</v>
      </c>
      <c r="J214" s="134"/>
    </row>
    <row r="215" spans="1:10" x14ac:dyDescent="0.4">
      <c r="A215" s="134">
        <v>8</v>
      </c>
      <c r="B215" s="150">
        <f>'Wykres kosztów zakumulowanych'!C81</f>
        <v>-40495.306413449987</v>
      </c>
      <c r="C215" s="150">
        <f>'Wykres kosztów zakumulowanych'!D81</f>
        <v>-57748.868457282479</v>
      </c>
      <c r="D215" s="150">
        <f>'Wykres kosztów zakumulowanych'!E81</f>
        <v>-52099.900554295054</v>
      </c>
      <c r="E215" s="150">
        <f>'Wykres kosztów zakumulowanych'!F81</f>
        <v>-47243.346235851379</v>
      </c>
      <c r="F215" s="150">
        <f>'Wykres kosztów zakumulowanych'!G81</f>
        <v>-37641.552235721705</v>
      </c>
      <c r="G215" s="150">
        <f>'Wykres kosztów zakumulowanych'!H81</f>
        <v>-34021.558269063833</v>
      </c>
      <c r="H215" s="150">
        <f>'Wykres kosztów zakumulowanych'!I81</f>
        <v>-44665.085734990702</v>
      </c>
      <c r="I215" s="150">
        <f t="shared" si="28"/>
        <v>0</v>
      </c>
      <c r="J215" s="134"/>
    </row>
    <row r="216" spans="1:10" x14ac:dyDescent="0.4">
      <c r="A216" s="134">
        <v>9</v>
      </c>
      <c r="B216" s="150">
        <f>'Wykres kosztów zakumulowanych'!C82</f>
        <v>-42880.702518437072</v>
      </c>
      <c r="C216" s="150">
        <f>'Wykres kosztów zakumulowanych'!D82</f>
        <v>-60092.091618717408</v>
      </c>
      <c r="D216" s="150">
        <f>'Wykres kosztów zakumulowanych'!E82</f>
        <v>-54230.216546252399</v>
      </c>
      <c r="E216" s="150">
        <f>'Wykres kosztów zakumulowanych'!F82</f>
        <v>-51795.351730504379</v>
      </c>
      <c r="F216" s="150">
        <f>'Wykres kosztów zakumulowanych'!G82</f>
        <v>-38475.957388339317</v>
      </c>
      <c r="G216" s="150">
        <f>'Wykres kosztów zakumulowanych'!H82</f>
        <v>-35777.138314459633</v>
      </c>
      <c r="H216" s="150">
        <f>'Wykres kosztów zakumulowanych'!I82</f>
        <v>-46182.498442564785</v>
      </c>
      <c r="I216" s="150">
        <f t="shared" si="28"/>
        <v>0</v>
      </c>
      <c r="J216" s="134"/>
    </row>
    <row r="217" spans="1:10" x14ac:dyDescent="0.4">
      <c r="A217" s="134">
        <v>10</v>
      </c>
      <c r="B217" s="150">
        <f>'Wykres kosztów zakumulowanych'!C83</f>
        <v>-45252.148938599676</v>
      </c>
      <c r="C217" s="150">
        <f>'Wykres kosztów zakumulowanych'!D83</f>
        <v>-62421.611720728746</v>
      </c>
      <c r="D217" s="150">
        <f>'Wykres kosztów zakumulowanych'!E83</f>
        <v>-56348.074549952682</v>
      </c>
      <c r="E217" s="150">
        <f>'Wykres kosztów zakumulowanych'!F83</f>
        <v>-56320.737309983968</v>
      </c>
      <c r="F217" s="150">
        <f>'Wykres kosztów zakumulowanych'!G83</f>
        <v>-39305.482978660919</v>
      </c>
      <c r="G217" s="150">
        <f>'Wykres kosztów zakumulowanych'!H83</f>
        <v>-37522.451809882361</v>
      </c>
      <c r="H217" s="150">
        <f>'Wykres kosztów zakumulowanych'!I83</f>
        <v>-47691.037391615042</v>
      </c>
      <c r="I217" s="150">
        <f t="shared" si="28"/>
        <v>0</v>
      </c>
      <c r="J217" s="134"/>
    </row>
    <row r="218" spans="1:10" x14ac:dyDescent="0.4">
      <c r="A218" s="134">
        <v>11</v>
      </c>
      <c r="B218" s="150">
        <f>'Wykres kosztów zakumulowanych'!C84</f>
        <v>-47609.72725104203</v>
      </c>
      <c r="C218" s="150">
        <f>'Wykres kosztów zakumulowanych'!D84</f>
        <v>-64737.508898166911</v>
      </c>
      <c r="D218" s="150">
        <f>'Wykres kosztów zakumulowanych'!E84</f>
        <v>-58453.547419128401</v>
      </c>
      <c r="E218" s="150">
        <f>'Wykres kosztów zakumulowanych'!F84</f>
        <v>-60819.658646308701</v>
      </c>
      <c r="F218" s="150">
        <f>'Wykres kosztów zakumulowanych'!G84</f>
        <v>-40130.157542138535</v>
      </c>
      <c r="G218" s="150">
        <f>'Wykres kosztów zakumulowanych'!H84</f>
        <v>-39257.558793635952</v>
      </c>
      <c r="H218" s="150">
        <f>'Wykres kosztów zakumulowanych'!I84</f>
        <v>-49190.754475466172</v>
      </c>
      <c r="I218" s="150">
        <f t="shared" si="28"/>
        <v>0</v>
      </c>
      <c r="J218" s="134"/>
    </row>
    <row r="219" spans="1:10" x14ac:dyDescent="0.4">
      <c r="A219" s="134">
        <v>12</v>
      </c>
      <c r="B219" s="150">
        <f>'Wykres kosztów zakumulowanych'!C85</f>
        <v>-49953.518555809278</v>
      </c>
      <c r="C219" s="150">
        <f>'Wykres kosztów zakumulowanych'!D85</f>
        <v>-67039.862817257483</v>
      </c>
      <c r="D219" s="150">
        <f>'Wykres kosztów zakumulowanych'!E85</f>
        <v>-60546.707581466835</v>
      </c>
      <c r="E219" s="150">
        <f>'Wykres kosztów zakumulowanych'!F85</f>
        <v>-65292.270501134466</v>
      </c>
      <c r="F219" s="150">
        <f>'Wykres kosztów zakumulowanych'!G85</f>
        <v>-40950.009447350203</v>
      </c>
      <c r="G219" s="150">
        <f>'Wykres kosztów zakumulowanych'!H85</f>
        <v>-40982.518952923143</v>
      </c>
      <c r="H219" s="150">
        <f>'Wykres kosztów zakumulowanych'!I85</f>
        <v>-50681.701283973147</v>
      </c>
      <c r="I219" s="150">
        <f t="shared" si="28"/>
        <v>0</v>
      </c>
      <c r="J219" s="134"/>
    </row>
    <row r="220" spans="1:10" x14ac:dyDescent="0.4">
      <c r="A220" s="134">
        <v>13</v>
      </c>
      <c r="B220" s="150">
        <f>'Wykres kosztów zakumulowanych'!C86</f>
        <v>-52283.603478677309</v>
      </c>
      <c r="C220" s="150">
        <f>'Wykres kosztów zakumulowanych'!D86</f>
        <v>-69328.752678341683</v>
      </c>
      <c r="D220" s="150">
        <f>'Wykres kosztów zakumulowanych'!E86</f>
        <v>-62627.627041101536</v>
      </c>
      <c r="E220" s="150">
        <f>'Wykres kosztów zakumulowanych'!F86</f>
        <v>-69738.726731078204</v>
      </c>
      <c r="F220" s="150">
        <f>'Wykres kosztów zakumulowanych'!G86</f>
        <v>-41765.066896975834</v>
      </c>
      <c r="G220" s="150">
        <f>'Wykres kosztów zakumulowanych'!H86</f>
        <v>-42697.391625898716</v>
      </c>
      <c r="H220" s="150">
        <f>'Wykres kosztów zakumulowanych'!I86</f>
        <v>-52163.929105295865</v>
      </c>
      <c r="I220" s="150">
        <f t="shared" si="28"/>
        <v>0</v>
      </c>
      <c r="J220" s="134"/>
    </row>
    <row r="221" spans="1:10" x14ac:dyDescent="0.4">
      <c r="A221" s="134">
        <v>14</v>
      </c>
      <c r="B221" s="150">
        <f>'Wykres kosztów zakumulowanych'!C87</f>
        <v>-54600.062173926221</v>
      </c>
      <c r="C221" s="150">
        <f>'Wykres kosztów zakumulowanych'!D87</f>
        <v>-71604.257218600833</v>
      </c>
      <c r="D221" s="150">
        <f>'Wykres kosztów zakumulowanych'!E87</f>
        <v>-64696.377381089245</v>
      </c>
      <c r="E221" s="150">
        <f>'Wykres kosztów zakumulowanych'!F87</f>
        <v>-74159.180293010577</v>
      </c>
      <c r="F221" s="150">
        <f>'Wykres kosztów zakumulowanych'!G87</f>
        <v>-42575.3579287674</v>
      </c>
      <c r="G221" s="150">
        <f>'Wykres kosztów zakumulowanych'!H87</f>
        <v>-44402.23580371069</v>
      </c>
      <c r="H221" s="150">
        <f>'Wykres kosztów zakumulowanych'!I87</f>
        <v>-53637.488927663486</v>
      </c>
      <c r="I221" s="150">
        <f t="shared" si="28"/>
        <v>0</v>
      </c>
      <c r="J221" s="134"/>
    </row>
    <row r="222" spans="1:10" x14ac:dyDescent="0.4">
      <c r="A222" s="134">
        <v>15</v>
      </c>
      <c r="B222" s="150">
        <f>'Wykres kosztów zakumulowanych'!C88</f>
        <v>-56902.974327097661</v>
      </c>
      <c r="C222" s="150">
        <f>'Wykres kosztów zakumulowanych'!D88</f>
        <v>-73866.454714764899</v>
      </c>
      <c r="D222" s="150">
        <f>'Wykres kosztów zakumulowanych'!E88</f>
        <v>-66753.029765872358</v>
      </c>
      <c r="E222" s="150">
        <f>'Wykres kosztów zakumulowanych'!F88</f>
        <v>-78553.783249317625</v>
      </c>
      <c r="F222" s="150">
        <f>'Wykres kosztów zakumulowanych'!G88</f>
        <v>-43380.910416513398</v>
      </c>
      <c r="G222" s="150">
        <f>'Wykres kosztów zakumulowanych'!H88</f>
        <v>-46097.110132529619</v>
      </c>
      <c r="H222" s="150">
        <f>'Wykres kosztów zakumulowanych'!I88</f>
        <v>-55102.43144112837</v>
      </c>
      <c r="I222" s="150">
        <f t="shared" si="28"/>
        <v>0</v>
      </c>
      <c r="J222" s="134"/>
    </row>
    <row r="223" spans="1:10" x14ac:dyDescent="0.4">
      <c r="A223" s="134">
        <v>16</v>
      </c>
      <c r="B223" s="150">
        <f>'Wykres kosztów zakumulowanych'!C89</f>
        <v>-59192.419157735931</v>
      </c>
      <c r="C223" s="150">
        <f>'Wykres kosztów zakumulowanych'!D89</f>
        <v>-76115.422985805184</v>
      </c>
      <c r="D223" s="150">
        <f>'Wykres kosztów zakumulowanych'!E89</f>
        <v>-68797.654943726913</v>
      </c>
      <c r="E223" s="150">
        <f>'Wykres kosztów zakumulowanych'!F89</f>
        <v>-82922.686773131631</v>
      </c>
      <c r="F223" s="150">
        <f>'Wykres kosztów zakumulowanych'!G89</f>
        <v>-44181.752070997725</v>
      </c>
      <c r="G223" s="150">
        <f>'Wykres kosztów zakumulowanych'!H89</f>
        <v>-47782.072915565965</v>
      </c>
      <c r="H223" s="150">
        <f>'Wykres kosztów zakumulowanych'!I89</f>
        <v>-56558.807039309831</v>
      </c>
      <c r="I223" s="150">
        <f t="shared" si="28"/>
        <v>0</v>
      </c>
      <c r="J223" s="134"/>
    </row>
    <row r="224" spans="1:10" x14ac:dyDescent="0.4">
      <c r="A224" s="134">
        <v>17</v>
      </c>
      <c r="B224" s="150">
        <f>'Wykres kosztów zakumulowanych'!C90</f>
        <v>-61468.475422113152</v>
      </c>
      <c r="C224" s="150">
        <f>'Wykres kosztów zakumulowanych'!D90</f>
        <v>-78351.239395611337</v>
      </c>
      <c r="D224" s="150">
        <f>'Wykres kosztów zakumulowanych'!E90</f>
        <v>-70830.323249196343</v>
      </c>
      <c r="E224" s="150">
        <f>'Wykres kosztów zakumulowanych'!F90</f>
        <v>-87266.041153531522</v>
      </c>
      <c r="F224" s="150">
        <f>'Wykres kosztów zakumulowanych'!G90</f>
        <v>-44977.910440952903</v>
      </c>
      <c r="G224" s="150">
        <f>'Wykres kosztów zakumulowanych'!H90</f>
        <v>-49457.18211507579</v>
      </c>
      <c r="H224" s="150">
        <f>'Wykres kosztów zakumulowanych'!I90</f>
        <v>-58006.665821127666</v>
      </c>
      <c r="I224" s="150">
        <f t="shared" si="28"/>
        <v>0</v>
      </c>
      <c r="J224" s="134"/>
    </row>
    <row r="225" spans="1:10" x14ac:dyDescent="0.4">
      <c r="A225" s="134">
        <v>18</v>
      </c>
      <c r="B225" s="150">
        <f>'Wykres kosztów zakumulowanych'!C91</f>
        <v>-63731.221415938468</v>
      </c>
      <c r="C225" s="150">
        <f>'Wykres kosztów zakumulowanych'!D91</f>
        <v>-80573.980855652524</v>
      </c>
      <c r="D225" s="150">
        <f>'Wykres kosztów zakumulowanych'!E91</f>
        <v>-72851.104605511006</v>
      </c>
      <c r="E225" s="150">
        <f>'Wykres kosztów zakumulowanych'!F91</f>
        <v>-91583.995800712713</v>
      </c>
      <c r="F225" s="150">
        <f>'Wykres kosztów zakumulowanych'!G91</f>
        <v>-45769.412914007757</v>
      </c>
      <c r="G225" s="150">
        <f>'Wykres kosztów zakumulowanych'!H91</f>
        <v>-51122.495354354563</v>
      </c>
      <c r="H225" s="150">
        <f>'Wykres kosztów zakumulowanych'!I91</f>
        <v>-59446.057592525503</v>
      </c>
      <c r="I225" s="150">
        <f t="shared" si="28"/>
        <v>0</v>
      </c>
      <c r="J225" s="134"/>
    </row>
    <row r="226" spans="1:10" x14ac:dyDescent="0.4">
      <c r="A226" s="134">
        <v>19</v>
      </c>
      <c r="B226" s="150">
        <f>'Wykres kosztów zakumulowanych'!C92</f>
        <v>-65980.734977051354</v>
      </c>
      <c r="C226" s="150">
        <f>'Wykres kosztów zakumulowanych'!D92</f>
        <v>-82783.723827623297</v>
      </c>
      <c r="D226" s="150">
        <f>'Wykres kosztów zakumulowanych'!E92</f>
        <v>-74860.068526993389</v>
      </c>
      <c r="E226" s="150">
        <f>'Wykres kosztów zakumulowanych'!F92</f>
        <v>-95876.699251126745</v>
      </c>
      <c r="F226" s="150">
        <f>'Wykres kosztów zakumulowanych'!G92</f>
        <v>-46556.286717629548</v>
      </c>
      <c r="G226" s="150">
        <f>'Wykres kosztów zakumulowanych'!H92</f>
        <v>-52778.069919719426</v>
      </c>
      <c r="H226" s="150">
        <f>'Wykres kosztów zakumulowanych'!I92</f>
        <v>-60877.031868184182</v>
      </c>
      <c r="I226" s="150">
        <f t="shared" si="28"/>
        <v>0</v>
      </c>
      <c r="J226" s="134"/>
    </row>
    <row r="227" spans="1:10" x14ac:dyDescent="0.4">
      <c r="A227" s="134">
        <v>20</v>
      </c>
      <c r="B227" s="150">
        <f>'Wykres kosztów zakumulowanych'!C93</f>
        <v>-68217.093488099257</v>
      </c>
      <c r="C227" s="150">
        <f>'Wykres kosztów zakumulowanych'!D93</f>
        <v>-84980.544326073781</v>
      </c>
      <c r="D227" s="150">
        <f>'Wykres kosztów zakumulowanych'!E93</f>
        <v>-76857.284121449571</v>
      </c>
      <c r="E227" s="150">
        <f>'Wykres kosztów zakumulowanych'!F93</f>
        <v>-100144.299172591</v>
      </c>
      <c r="F227" s="150">
        <f>'Wykres kosztów zakumulowanych'!G93</f>
        <v>-47338.558920060561</v>
      </c>
      <c r="G227" s="150">
        <f>'Wykres kosztów zakumulowanych'!H93</f>
        <v>-54423.962762479816</v>
      </c>
      <c r="H227" s="150">
        <f>'Wykres kosztów zakumulowanych'!I93</f>
        <v>-62299.637873224972</v>
      </c>
      <c r="I227" s="150">
        <f t="shared" si="28"/>
        <v>0</v>
      </c>
      <c r="J227" s="134"/>
    </row>
    <row r="228" spans="1:10" x14ac:dyDescent="0.4">
      <c r="A228" s="134">
        <v>21</v>
      </c>
      <c r="B228" s="150">
        <f>'Wykres kosztów zakumulowanych'!C94</f>
        <v>-70440.373879199498</v>
      </c>
      <c r="C228" s="150">
        <f>'Wykres kosztów zakumulowanych'!D94</f>
        <v>-87164.517921024555</v>
      </c>
      <c r="D228" s="150">
        <f>'Wykres kosztów zakumulowanych'!E94</f>
        <v>-78842.820092546375</v>
      </c>
      <c r="E228" s="150">
        <f>'Wykres kosztów zakumulowanych'!F94</f>
        <v>-104386.94236936832</v>
      </c>
      <c r="F228" s="150">
        <f>'Wykres kosztów zakumulowanych'!G94</f>
        <v>-48116.25643124929</v>
      </c>
      <c r="G228" s="150">
        <f>'Wykres kosztów zakumulowanych'!H94</f>
        <v>-56060.230500896578</v>
      </c>
      <c r="H228" s="150">
        <f>'Wykres kosztów zakumulowanych'!I94</f>
        <v>-63713.92454490294</v>
      </c>
      <c r="I228" s="150">
        <f t="shared" si="28"/>
        <v>0</v>
      </c>
      <c r="J228" s="134"/>
    </row>
    <row r="229" spans="1:10" x14ac:dyDescent="0.4">
      <c r="A229" s="134">
        <v>22</v>
      </c>
      <c r="B229" s="150">
        <f>'Wykres kosztów zakumulowanych'!C95</f>
        <v>-72650.652630585711</v>
      </c>
      <c r="C229" s="150">
        <f>'Wykres kosztów zakumulowanych'!D95</f>
        <v>-89335.719740566259</v>
      </c>
      <c r="D229" s="150">
        <f>'Wykres kosztów zakumulowanych'!E95</f>
        <v>-80816.744742174749</v>
      </c>
      <c r="E229" s="150">
        <f>'Wykres kosztów zakumulowanych'!F95</f>
        <v>-108604.77478721713</v>
      </c>
      <c r="F229" s="150">
        <f>'Wykres kosztów zakumulowanych'!G95</f>
        <v>-48889.406003776094</v>
      </c>
      <c r="G229" s="150">
        <f>'Wykres kosztów zakumulowanych'!H95</f>
        <v>-57686.929422129615</v>
      </c>
      <c r="H229" s="150">
        <f>'Wykres kosztów zakumulowanych'!I95</f>
        <v>-65119.940534290407</v>
      </c>
      <c r="I229" s="150">
        <f t="shared" si="28"/>
        <v>0</v>
      </c>
      <c r="J229" s="134"/>
    </row>
    <row r="230" spans="1:10" x14ac:dyDescent="0.4">
      <c r="A230" s="134">
        <v>23</v>
      </c>
      <c r="B230" s="150">
        <f>'Wykres kosztów zakumulowanych'!C96</f>
        <v>-74848.005775238678</v>
      </c>
      <c r="C230" s="150">
        <f>'Wykres kosztów zakumulowanych'!D96</f>
        <v>-91494.224473443974</v>
      </c>
      <c r="D230" s="150">
        <f>'Wykres kosztów zakumulowanych'!E96</f>
        <v>-82779.125972799462</v>
      </c>
      <c r="E230" s="150">
        <f>'Wykres kosztów zakumulowanych'!F96</f>
        <v>-112797.94151841184</v>
      </c>
      <c r="F230" s="150">
        <f>'Wykres kosztów zakumulowanych'!G96</f>
        <v>-49658.034233773506</v>
      </c>
      <c r="G230" s="150">
        <f>'Wykres kosztów zakumulowanych'!H96</f>
        <v>-59304.115484174152</v>
      </c>
      <c r="H230" s="150">
        <f>'Wykres kosztów zakumulowanych'!I96</f>
        <v>-66517.734207950445</v>
      </c>
      <c r="I230" s="150">
        <f t="shared" si="28"/>
        <v>0</v>
      </c>
      <c r="J230" s="134"/>
    </row>
    <row r="231" spans="1:10" x14ac:dyDescent="0.4">
      <c r="A231" s="134">
        <v>24</v>
      </c>
      <c r="B231" s="150">
        <f>'Wykres kosztów zakumulowanych'!C97</f>
        <v>-77032.508901501846</v>
      </c>
      <c r="C231" s="150">
        <f>'Wykres kosztów zakumulowanych'!D97</f>
        <v>-93640.106371626491</v>
      </c>
      <c r="D231" s="150">
        <f>'Wykres kosztów zakumulowanych'!E97</f>
        <v>-84730.031289794802</v>
      </c>
      <c r="E231" s="150">
        <f>'Wykres kosztów zakumulowanych'!F97</f>
        <v>-116966.58680673409</v>
      </c>
      <c r="F231" s="150">
        <f>'Wykres kosztów zakumulowanych'!G97</f>
        <v>-50422.16756184111</v>
      </c>
      <c r="G231" s="150">
        <f>'Wykres kosztów zakumulowanych'!H97</f>
        <v>-60911.84431778569</v>
      </c>
      <c r="H231" s="150">
        <f>'Wykres kosztów zakumulowanych'!I97</f>
        <v>-67907.353649600787</v>
      </c>
      <c r="I231" s="150">
        <f t="shared" si="28"/>
        <v>0</v>
      </c>
      <c r="J231" s="134"/>
    </row>
    <row r="232" spans="1:10" x14ac:dyDescent="0.4">
      <c r="A232" s="134">
        <v>25</v>
      </c>
      <c r="B232" s="150">
        <f>'Wykres kosztów zakumulowanych'!C98</f>
        <v>-79204.237155681622</v>
      </c>
      <c r="C232" s="150">
        <f>'Wykres kosztów zakumulowanych'!D98</f>
        <v>-95773.439252860582</v>
      </c>
      <c r="D232" s="150">
        <f>'Wykres kosztów zakumulowanych'!E98</f>
        <v>-86669.527803766759</v>
      </c>
      <c r="E232" s="150">
        <f>'Wykres kosztów zakumulowanych'!F98</f>
        <v>-121110.85405243456</v>
      </c>
      <c r="F232" s="150">
        <f>'Wykres kosztów zakumulowanych'!G98</f>
        <v>-51181.8322739551</v>
      </c>
      <c r="G232" s="150">
        <f>'Wykres kosztów zakumulowanych'!H98</f>
        <v>-62510.171228393643</v>
      </c>
      <c r="H232" s="150">
        <f>'Wykres kosztów zakumulowanych'!I98</f>
        <v>-69288.846661767806</v>
      </c>
      <c r="I232" s="150">
        <f t="shared" si="28"/>
        <v>0</v>
      </c>
      <c r="J232" s="134"/>
    </row>
    <row r="233" spans="1:10" x14ac:dyDescent="0.4">
      <c r="A233" s="134">
        <v>26</v>
      </c>
      <c r="B233" s="150">
        <f>'Wykres kosztów zakumulowanych'!C99</f>
        <v>-81363.265244632261</v>
      </c>
      <c r="C233" s="150">
        <f>'Wykres kosztów zakumulowanych'!D99</f>
        <v>-97894.296503210266</v>
      </c>
      <c r="D233" s="150">
        <f>'Wykres kosztów zakumulowanych'!E99</f>
        <v>-88597.682232861698</v>
      </c>
      <c r="E233" s="150">
        <f>'Wykres kosztów zakumulowanych'!F99</f>
        <v>-125230.88581716602</v>
      </c>
      <c r="F233" s="150">
        <f>'Wykres kosztów zakumulowanych'!G99</f>
        <v>-51937.054502372514</v>
      </c>
      <c r="G233" s="150">
        <f>'Wykres kosztów zakumulowanych'!H99</f>
        <v>-64099.151198003892</v>
      </c>
      <c r="H233" s="150">
        <f>'Wykres kosztów zakumulowanych'!I99</f>
        <v>-70662.260767430897</v>
      </c>
      <c r="I233" s="150">
        <f t="shared" si="28"/>
        <v>0</v>
      </c>
      <c r="J233" s="134"/>
    </row>
    <row r="234" spans="1:10" x14ac:dyDescent="0.4">
      <c r="A234" s="134">
        <v>27</v>
      </c>
      <c r="B234" s="150">
        <f>'Wykres kosztów zakumulowanych'!C100</f>
        <v>-83509.66743832588</v>
      </c>
      <c r="C234" s="150">
        <f>'Wykres kosztów zakumulowanych'!D100</f>
        <v>-100002.75107958127</v>
      </c>
      <c r="D234" s="150">
        <f>'Wykres kosztów zakumulowanych'!E100</f>
        <v>-90514.560905061342</v>
      </c>
      <c r="E234" s="150">
        <f>'Wykres kosztów zakumulowanych'!F100</f>
        <v>-129326.82382888735</v>
      </c>
      <c r="F234" s="150">
        <f>'Wykres kosztów zakumulowanych'!G100</f>
        <v>-52687.860226530182</v>
      </c>
      <c r="G234" s="150">
        <f>'Wykres kosztów zakumulowanych'!H100</f>
        <v>-65678.838887090096</v>
      </c>
      <c r="H234" s="150">
        <f>'Wykres kosztów zakumulowanych'!I100</f>
        <v>-72027.643211657385</v>
      </c>
      <c r="I234" s="150">
        <f t="shared" si="28"/>
        <v>0</v>
      </c>
      <c r="J234" s="134"/>
    </row>
    <row r="235" spans="1:10" x14ac:dyDescent="0.4">
      <c r="A235" s="134">
        <v>28</v>
      </c>
      <c r="B235" s="150">
        <f>'Wykres kosztów zakumulowanych'!C101</f>
        <v>-85643.517572407261</v>
      </c>
      <c r="C235" s="150">
        <f>'Wykres kosztów zakumulowanych'!D101</f>
        <v>-102098.87551223082</v>
      </c>
      <c r="D235" s="150">
        <f>'Wykres kosztów zakumulowanych'!E101</f>
        <v>-92420.229760464485</v>
      </c>
      <c r="E235" s="150">
        <f>'Wykres kosztów zakumulowanych'!F101</f>
        <v>-133398.80898673896</v>
      </c>
      <c r="F235" s="150">
        <f>'Wykres kosztów zakumulowanych'!G101</f>
        <v>-53434.275273938387</v>
      </c>
      <c r="G235" s="150">
        <f>'Wykres kosztów zakumulowanych'!H101</f>
        <v>-67249.288636474055</v>
      </c>
      <c r="H235" s="150">
        <f>'Wykres kosztów zakumulowanych'!I101</f>
        <v>-73385.040963227555</v>
      </c>
      <c r="I235" s="150">
        <f t="shared" si="28"/>
        <v>0</v>
      </c>
      <c r="J235" s="134"/>
    </row>
    <row r="236" spans="1:10" x14ac:dyDescent="0.4">
      <c r="A236" s="134">
        <v>29</v>
      </c>
      <c r="B236" s="150">
        <f>'Wykres kosztów zakumulowanych'!C102</f>
        <v>-87764.889050733778</v>
      </c>
      <c r="C236" s="150">
        <f>'Wykres kosztów zakumulowanych'!D102</f>
        <v>-104182.74190726256</v>
      </c>
      <c r="D236" s="150">
        <f>'Wykres kosztów zakumulowanych'!E102</f>
        <v>-94314.754353555356</v>
      </c>
      <c r="E236" s="150">
        <f>'Wykres kosztów zakumulowanych'!F102</f>
        <v>-137446.98136588972</v>
      </c>
      <c r="F236" s="150">
        <f>'Wykres kosztów zakumulowanych'!G102</f>
        <v>-54176.325321069351</v>
      </c>
      <c r="G236" s="150">
        <f>'Wykres kosztów zakumulowanych'!H102</f>
        <v>-68810.554469194947</v>
      </c>
      <c r="H236" s="150">
        <f>'Wykres kosztów zakumulowanych'!I102</f>
        <v>-74734.50071625055</v>
      </c>
      <c r="I236" s="150">
        <f t="shared" si="28"/>
        <v>0</v>
      </c>
      <c r="J236" s="134"/>
    </row>
    <row r="237" spans="1:10" x14ac:dyDescent="0.4">
      <c r="A237" s="134">
        <v>30</v>
      </c>
      <c r="B237" s="150">
        <f>'Wykres kosztów zakumulowanych'!C103</f>
        <v>-89873.854847900497</v>
      </c>
      <c r="C237" s="150">
        <f>'Wykres kosztów zakumulowanych'!D103</f>
        <v>-106254.42194910697</v>
      </c>
      <c r="D237" s="150">
        <f>'Wykres kosztów zakumulowanych'!E103</f>
        <v>-96198.19985545853</v>
      </c>
      <c r="E237" s="150">
        <f>'Wykres kosztów zakumulowanych'!F103</f>
        <v>-141471.48022235531</v>
      </c>
      <c r="F237" s="150">
        <f>'Wykres kosztów zakumulowanych'!G103</f>
        <v>-54914.035894240486</v>
      </c>
      <c r="G237" s="150">
        <f>'Wykres kosztów zakumulowanych'!H103</f>
        <v>-70362.69009236776</v>
      </c>
      <c r="H237" s="150">
        <f>'Wykres kosztów zakumulowanych'!I103</f>
        <v>-76076.068891770468</v>
      </c>
      <c r="I237" s="150">
        <f t="shared" si="28"/>
        <v>0</v>
      </c>
      <c r="J237" s="134"/>
    </row>
    <row r="238" spans="1:10" x14ac:dyDescent="0.4">
      <c r="I238" s="134"/>
      <c r="J238" s="134"/>
    </row>
    <row r="239" spans="1:10" x14ac:dyDescent="0.4">
      <c r="I239" s="134"/>
      <c r="J239" s="134"/>
    </row>
    <row r="240" spans="1:10" x14ac:dyDescent="0.4">
      <c r="I240" s="134"/>
      <c r="J240" s="134"/>
    </row>
    <row r="241" spans="6:10" x14ac:dyDescent="0.4">
      <c r="F241" s="165"/>
      <c r="I241" s="134"/>
      <c r="J241" s="134"/>
    </row>
  </sheetData>
  <mergeCells count="2">
    <mergeCell ref="A40:N41"/>
    <mergeCell ref="A8:A9"/>
  </mergeCells>
  <phoneticPr fontId="5" type="noConversion"/>
  <conditionalFormatting sqref="C94:H97">
    <cfRule type="cellIs" dxfId="2" priority="2" stopIfTrue="1" operator="greaterThan">
      <formula>$C$94&gt;$C$90</formula>
    </cfRule>
  </conditionalFormatting>
  <conditionalFormatting sqref="C95:H97">
    <cfRule type="cellIs" dxfId="1" priority="1" stopIfTrue="1" operator="greaterThan">
      <formula>$C$95&gt;$C$91</formula>
    </cfRule>
  </conditionalFormatting>
  <hyperlinks>
    <hyperlink ref="A39" r:id="rId1" xr:uid="{00000000-0004-0000-0B00-000000000000}"/>
  </hyperlinks>
  <pageMargins left="0.75" right="0.75" top="1" bottom="1" header="0.5" footer="0.5"/>
  <pageSetup paperSize="9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Wyniki">
                <anchor moveWithCells="1" sizeWithCells="1">
                  <from>
                    <xdr:col>0</xdr:col>
                    <xdr:colOff>163830</xdr:colOff>
                    <xdr:row>2</xdr:row>
                    <xdr:rowOff>137160</xdr:rowOff>
                  </from>
                  <to>
                    <xdr:col>0</xdr:col>
                    <xdr:colOff>1394460</xdr:colOff>
                    <xdr:row>4</xdr:row>
                    <xdr:rowOff>26670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6" name="Button 81">
              <controlPr defaultSize="0" print="0" autoFill="0" autoPict="0" macro="[0]!Start2">
                <anchor moveWithCells="1" sizeWithCells="1">
                  <from>
                    <xdr:col>0</xdr:col>
                    <xdr:colOff>152400</xdr:colOff>
                    <xdr:row>4</xdr:row>
                    <xdr:rowOff>53340</xdr:rowOff>
                  </from>
                  <to>
                    <xdr:col>0</xdr:col>
                    <xdr:colOff>1386840</xdr:colOff>
                    <xdr:row>5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65232" r:id="rId7" name="Button 2256">
              <controlPr defaultSize="0" print="0" autoFill="0" autoPict="0" macro="[0]!Przycisk2256_Kliknięcie2">
                <anchor moveWithCells="1" sizeWithCells="1">
                  <from>
                    <xdr:col>0</xdr:col>
                    <xdr:colOff>175260</xdr:colOff>
                    <xdr:row>1</xdr:row>
                    <xdr:rowOff>53340</xdr:rowOff>
                  </from>
                  <to>
                    <xdr:col>0</xdr:col>
                    <xdr:colOff>1394460</xdr:colOff>
                    <xdr:row>2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65233" r:id="rId8" name="Button 2257">
              <controlPr defaultSize="0" print="0" autoFill="0" autoPict="0" macro="[0]!Przycisk2256_Kliknięcie2">
                <anchor moveWithCells="1" sizeWithCells="1">
                  <from>
                    <xdr:col>0</xdr:col>
                    <xdr:colOff>163830</xdr:colOff>
                    <xdr:row>5</xdr:row>
                    <xdr:rowOff>121920</xdr:rowOff>
                  </from>
                  <to>
                    <xdr:col>0</xdr:col>
                    <xdr:colOff>1383030</xdr:colOff>
                    <xdr:row>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4"/>
  <dimension ref="A1:V123"/>
  <sheetViews>
    <sheetView showGridLines="0" showRowColHeaders="0" workbookViewId="0">
      <selection activeCell="A3" sqref="A3"/>
    </sheetView>
  </sheetViews>
  <sheetFormatPr defaultRowHeight="12.3" x14ac:dyDescent="0.4"/>
  <cols>
    <col min="1" max="10" width="8.88671875" style="131"/>
    <col min="11" max="11" width="9.5546875" style="131" bestFit="1" customWidth="1"/>
    <col min="12" max="16384" width="8.88671875" style="131"/>
  </cols>
  <sheetData>
    <row r="1" spans="1:9" ht="17.100000000000001" thickBot="1" x14ac:dyDescent="0.7">
      <c r="A1" s="225" t="s">
        <v>200</v>
      </c>
      <c r="B1" s="224"/>
      <c r="C1" s="224"/>
      <c r="D1" s="224"/>
      <c r="E1" s="224"/>
      <c r="F1" s="224"/>
      <c r="G1" s="224"/>
      <c r="H1" s="224"/>
      <c r="I1" s="224"/>
    </row>
    <row r="2" spans="1:9" ht="12.6" thickTop="1" x14ac:dyDescent="0.4"/>
    <row r="32" spans="2:19" ht="12.9" x14ac:dyDescent="0.5">
      <c r="B32" s="252" t="s">
        <v>92</v>
      </c>
      <c r="C32" s="253"/>
      <c r="D32" s="253"/>
      <c r="E32" s="253"/>
      <c r="F32" s="253"/>
      <c r="G32" s="253"/>
      <c r="H32" s="253"/>
      <c r="I32" s="253"/>
      <c r="J32" s="252"/>
      <c r="K32" s="252"/>
      <c r="L32" s="252"/>
      <c r="M32" s="253"/>
      <c r="N32" s="253"/>
      <c r="O32" s="253"/>
      <c r="P32" s="253"/>
      <c r="Q32" s="253"/>
      <c r="R32" s="253"/>
      <c r="S32" s="253"/>
    </row>
    <row r="33" spans="2:22" ht="12.9" x14ac:dyDescent="0.5">
      <c r="B33" s="254" t="s">
        <v>66</v>
      </c>
      <c r="C33" s="253"/>
      <c r="D33" s="253"/>
      <c r="E33" s="253"/>
      <c r="F33" s="253"/>
      <c r="G33" s="253"/>
      <c r="H33" s="253"/>
      <c r="I33" s="253"/>
      <c r="J33" s="252"/>
      <c r="K33" s="252"/>
      <c r="L33" s="252"/>
      <c r="M33" s="253"/>
      <c r="N33" s="253"/>
      <c r="O33" s="253"/>
      <c r="P33" s="253"/>
      <c r="Q33" s="253"/>
      <c r="R33" s="253"/>
      <c r="S33" s="253"/>
    </row>
    <row r="34" spans="2:22" x14ac:dyDescent="0.4">
      <c r="B34" s="280" t="s">
        <v>158</v>
      </c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</row>
    <row r="35" spans="2:22" x14ac:dyDescent="0.4"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</row>
    <row r="39" spans="2:22" x14ac:dyDescent="0.4">
      <c r="B39" s="132"/>
      <c r="C39" s="134" t="str">
        <f>Zestawienie!B204</f>
        <v>Wariant A, KG-spr. 87%</v>
      </c>
      <c r="D39" s="134" t="str">
        <f>Zestawienie!C204</f>
        <v>Wariant B, Gaz PC-wsp. ef. 124%</v>
      </c>
      <c r="E39" s="134" t="str">
        <f>Zestawienie!D204</f>
        <v>Wariant C, Pelet-spr. 83%</v>
      </c>
      <c r="F39" s="134" t="str">
        <f>Zestawienie!E204</f>
        <v>Wariant D, KE-spr. 94%</v>
      </c>
      <c r="G39" s="134" t="str">
        <f>Zestawienie!F204</f>
        <v>Wariant E, PV+ PC P/W, SPF=3,45</v>
      </c>
      <c r="H39" s="134" t="str">
        <f>Zestawienie!G204</f>
        <v>Wariant F, PC P/W, SPF=3,45</v>
      </c>
      <c r="I39" s="134" t="str">
        <f>Zestawienie!H204</f>
        <v>Wariant G, PC S/W, SPF=3,75</v>
      </c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251"/>
      <c r="V39" s="251"/>
    </row>
    <row r="40" spans="2:22" x14ac:dyDescent="0.4">
      <c r="B40" s="132"/>
      <c r="C40" s="150">
        <f>-Zestawienie!B206</f>
        <v>-2514.6943550955411</v>
      </c>
      <c r="D40" s="150">
        <f>-Zestawienie!C206</f>
        <v>-2470.2354650744437</v>
      </c>
      <c r="E40" s="150">
        <f>-Zestawienie!D206</f>
        <v>-2245.7878539941221</v>
      </c>
      <c r="F40" s="150">
        <f>-Zestawienie!E206</f>
        <v>-4798.7428577736109</v>
      </c>
      <c r="G40" s="150">
        <f>-Zestawienie!F206</f>
        <v>-879.63333333333333</v>
      </c>
      <c r="H40" s="150">
        <f>-Zestawienie!G206</f>
        <v>-1850.7396825396825</v>
      </c>
      <c r="I40" s="150">
        <f>-Zestawienie!H206</f>
        <v>-1599.6626984126983</v>
      </c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251"/>
      <c r="V40" s="251"/>
    </row>
    <row r="41" spans="2:22" x14ac:dyDescent="0.4">
      <c r="B41" s="132">
        <v>0</v>
      </c>
      <c r="C41" s="150">
        <f>Zestawienie!B207</f>
        <v>-20900</v>
      </c>
      <c r="D41" s="150">
        <f>Zestawienie!C207</f>
        <v>-38500</v>
      </c>
      <c r="E41" s="150">
        <f>Zestawienie!D207</f>
        <v>-34600</v>
      </c>
      <c r="F41" s="150">
        <f>Zestawienie!E207</f>
        <v>-9850</v>
      </c>
      <c r="G41" s="150">
        <f>Zestawienie!F207</f>
        <v>-30787.166666666664</v>
      </c>
      <c r="H41" s="150">
        <f>Zestawienie!G207</f>
        <v>-19600</v>
      </c>
      <c r="I41" s="150">
        <f>Zestawienie!H207</f>
        <v>-32200</v>
      </c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251"/>
      <c r="V41" s="251"/>
    </row>
    <row r="42" spans="2:22" x14ac:dyDescent="0.4">
      <c r="B42" s="132">
        <v>1</v>
      </c>
      <c r="C42" s="150">
        <f>C40*(1+'Dane budynku 1'!$C$21)</f>
        <v>-2564.9882421974521</v>
      </c>
      <c r="D42" s="150">
        <f>D40*(1+'Dane budynku 1'!$C$21)</f>
        <v>-2519.6401743759325</v>
      </c>
      <c r="E42" s="150">
        <f>E40*(1+'Dane budynku 1'!$C$21)</f>
        <v>-2290.7036110740046</v>
      </c>
      <c r="F42" s="150">
        <f>F40*(1+'Dane budynku 1'!$C$21)</f>
        <v>-4894.7177149290828</v>
      </c>
      <c r="G42" s="150">
        <f>G40*(1+'Dane budynku 1'!$C$21)</f>
        <v>-897.226</v>
      </c>
      <c r="H42" s="150">
        <f>H40*(1+'Dane budynku 1'!$C$21)</f>
        <v>-1887.7544761904762</v>
      </c>
      <c r="I42" s="150">
        <f>I40*(1+'Dane budynku 1'!$C$21)</f>
        <v>-1631.6559523809524</v>
      </c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251"/>
      <c r="V42" s="251"/>
    </row>
    <row r="43" spans="2:22" x14ac:dyDescent="0.4">
      <c r="B43" s="132">
        <v>2</v>
      </c>
      <c r="C43" s="150">
        <f>C42*(1+'Dane budynku 1'!$C$21)</f>
        <v>-2616.2880070414012</v>
      </c>
      <c r="D43" s="150">
        <f>D42*(1+'Dane budynku 1'!$C$21)</f>
        <v>-2570.0329778634514</v>
      </c>
      <c r="E43" s="150">
        <f>E42*(1+'Dane budynku 1'!$C$21)</f>
        <v>-2336.5176832954849</v>
      </c>
      <c r="F43" s="150">
        <f>F42*(1+'Dane budynku 1'!$C$21)</f>
        <v>-4992.6120692276645</v>
      </c>
      <c r="G43" s="150">
        <f>G42*(1+'Dane budynku 1'!$C$21)</f>
        <v>-915.17052000000001</v>
      </c>
      <c r="H43" s="150">
        <f>H42*(1+'Dane budynku 1'!$C$21)</f>
        <v>-1925.5095657142858</v>
      </c>
      <c r="I43" s="150">
        <f>I42*(1+'Dane budynku 1'!$C$21)</f>
        <v>-1664.2890714285716</v>
      </c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251"/>
      <c r="V43" s="251"/>
    </row>
    <row r="44" spans="2:22" x14ac:dyDescent="0.4">
      <c r="B44" s="132">
        <v>3</v>
      </c>
      <c r="C44" s="150">
        <f>C43*(1+'Dane budynku 1'!$C$21)</f>
        <v>-2668.6137671822294</v>
      </c>
      <c r="D44" s="150">
        <f>D43*(1+'Dane budynku 1'!$C$21)</f>
        <v>-2621.4336374207205</v>
      </c>
      <c r="E44" s="150">
        <f>E43*(1+'Dane budynku 1'!$C$21)</f>
        <v>-2383.2480369613945</v>
      </c>
      <c r="F44" s="150">
        <f>F43*(1+'Dane budynku 1'!$C$21)</f>
        <v>-5092.4643106122176</v>
      </c>
      <c r="G44" s="150">
        <f>G43*(1+'Dane budynku 1'!$C$21)</f>
        <v>-933.47393039999997</v>
      </c>
      <c r="H44" s="150">
        <f>H43*(1+'Dane budynku 1'!$C$21)</f>
        <v>-1964.0197570285716</v>
      </c>
      <c r="I44" s="150">
        <f>I43*(1+'Dane budynku 1'!$C$21)</f>
        <v>-1697.574852857143</v>
      </c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251"/>
      <c r="V44" s="251"/>
    </row>
    <row r="45" spans="2:22" x14ac:dyDescent="0.4">
      <c r="B45" s="132">
        <v>4</v>
      </c>
      <c r="C45" s="150">
        <f>C44*(1+'Dane budynku 1'!$C$21)</f>
        <v>-2721.9860425258739</v>
      </c>
      <c r="D45" s="150">
        <f>D44*(1+'Dane budynku 1'!$C$21)</f>
        <v>-2673.8623101691351</v>
      </c>
      <c r="E45" s="150">
        <f>E44*(1+'Dane budynku 1'!$C$21)</f>
        <v>-2430.9129977006223</v>
      </c>
      <c r="F45" s="150">
        <f>F44*(1+'Dane budynku 1'!$C$21)</f>
        <v>-5194.3135968244624</v>
      </c>
      <c r="G45" s="150">
        <f>G44*(1+'Dane budynku 1'!$C$21)</f>
        <v>-952.14340900799994</v>
      </c>
      <c r="H45" s="150">
        <f>H44*(1+'Dane budynku 1'!$C$21)</f>
        <v>-2003.3001521691431</v>
      </c>
      <c r="I45" s="150">
        <f>I44*(1+'Dane budynku 1'!$C$21)</f>
        <v>-1731.5263499142859</v>
      </c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251"/>
      <c r="V45" s="251"/>
    </row>
    <row r="46" spans="2:22" x14ac:dyDescent="0.4">
      <c r="B46" s="132">
        <v>5</v>
      </c>
      <c r="C46" s="150">
        <f>C45*(1+'Dane budynku 1'!$C$21)</f>
        <v>-2776.4257633763914</v>
      </c>
      <c r="D46" s="150">
        <f>D45*(1+'Dane budynku 1'!$C$21)</f>
        <v>-2727.339556372518</v>
      </c>
      <c r="E46" s="150">
        <f>E45*(1+'Dane budynku 1'!$C$21)</f>
        <v>-2479.5312576546348</v>
      </c>
      <c r="F46" s="150">
        <f>F45*(1+'Dane budynku 1'!$C$21)</f>
        <v>-5298.1998687609521</v>
      </c>
      <c r="G46" s="150">
        <f>G45*(1+'Dane budynku 1'!$C$21)</f>
        <v>-971.18627718815992</v>
      </c>
      <c r="H46" s="150">
        <f>H45*(1+'Dane budynku 1'!$C$21)</f>
        <v>-2043.3661552125259</v>
      </c>
      <c r="I46" s="150">
        <f>I45*(1+'Dane budynku 1'!$C$21)</f>
        <v>-1766.1568769125718</v>
      </c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251"/>
      <c r="V46" s="251"/>
    </row>
    <row r="47" spans="2:22" x14ac:dyDescent="0.4">
      <c r="B47" s="132">
        <v>6</v>
      </c>
      <c r="C47" s="150">
        <f>C46*(1+'Dane budynku 1'!$C$21)</f>
        <v>-2831.9542786439192</v>
      </c>
      <c r="D47" s="150">
        <f>D46*(1+'Dane budynku 1'!$C$21)</f>
        <v>-2781.8863474999685</v>
      </c>
      <c r="E47" s="150">
        <f>E46*(1+'Dane budynku 1'!$C$21)</f>
        <v>-2529.1218828077276</v>
      </c>
      <c r="F47" s="150">
        <f>F46*(1+'Dane budynku 1'!$C$21)</f>
        <v>-5404.1638661361712</v>
      </c>
      <c r="G47" s="150">
        <f>G46*(1+'Dane budynku 1'!$C$21)</f>
        <v>-990.61000273192315</v>
      </c>
      <c r="H47" s="150">
        <f>H46*(1+'Dane budynku 1'!$C$21)</f>
        <v>-2084.2334783167767</v>
      </c>
      <c r="I47" s="150">
        <f>I46*(1+'Dane budynku 1'!$C$21)</f>
        <v>-1801.4800144508233</v>
      </c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251"/>
      <c r="V47" s="251"/>
    </row>
    <row r="48" spans="2:22" x14ac:dyDescent="0.4">
      <c r="B48" s="132">
        <v>7</v>
      </c>
      <c r="C48" s="150">
        <f>C47*(1+'Dane budynku 1'!$C$21)</f>
        <v>-2888.5933642167975</v>
      </c>
      <c r="D48" s="150">
        <f>D47*(1+'Dane budynku 1'!$C$21)</f>
        <v>-2837.5240744499679</v>
      </c>
      <c r="E48" s="150">
        <f>E47*(1+'Dane budynku 1'!$C$21)</f>
        <v>-2579.7043204638821</v>
      </c>
      <c r="F48" s="150">
        <f>F47*(1+'Dane budynku 1'!$C$21)</f>
        <v>-5512.2471434588952</v>
      </c>
      <c r="G48" s="150">
        <f>G47*(1+'Dane budynku 1'!$C$21)</f>
        <v>-1010.4222027865616</v>
      </c>
      <c r="H48" s="150">
        <f>H47*(1+'Dane budynku 1'!$C$21)</f>
        <v>-2125.9181478831124</v>
      </c>
      <c r="I48" s="150">
        <f>I47*(1+'Dane budynku 1'!$C$21)</f>
        <v>-1837.5096147398399</v>
      </c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251"/>
      <c r="V48" s="251"/>
    </row>
    <row r="49" spans="2:22" x14ac:dyDescent="0.4">
      <c r="B49" s="132">
        <v>8</v>
      </c>
      <c r="C49" s="150">
        <f>C48*(1+'Dane budynku 1'!$C$21)</f>
        <v>-2946.3652315011336</v>
      </c>
      <c r="D49" s="150">
        <f>D48*(1+'Dane budynku 1'!$C$21)</f>
        <v>-2894.2745559389673</v>
      </c>
      <c r="E49" s="150">
        <f>E48*(1+'Dane budynku 1'!$C$21)</f>
        <v>-2631.2984068731598</v>
      </c>
      <c r="F49" s="150">
        <f>F48*(1+'Dane budynku 1'!$C$21)</f>
        <v>-5622.4920863280731</v>
      </c>
      <c r="G49" s="150">
        <f>G48*(1+'Dane budynku 1'!$C$21)</f>
        <v>-1030.6306468422929</v>
      </c>
      <c r="H49" s="150">
        <f>H48*(1+'Dane budynku 1'!$C$21)</f>
        <v>-2168.4365108407746</v>
      </c>
      <c r="I49" s="150">
        <f>I48*(1+'Dane budynku 1'!$C$21)</f>
        <v>-1874.2598070346367</v>
      </c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251"/>
      <c r="V49" s="251"/>
    </row>
    <row r="50" spans="2:22" x14ac:dyDescent="0.4">
      <c r="B50" s="132">
        <v>9</v>
      </c>
      <c r="C50" s="150">
        <f>C49*(1+'Dane budynku 1'!$C$21)</f>
        <v>-3005.2925361311563</v>
      </c>
      <c r="D50" s="150">
        <f>D49*(1+'Dane budynku 1'!$C$21)</f>
        <v>-2952.1600470577469</v>
      </c>
      <c r="E50" s="150">
        <f>E49*(1+'Dane budynku 1'!$C$21)</f>
        <v>-2683.924375010623</v>
      </c>
      <c r="F50" s="150">
        <f>F49*(1+'Dane budynku 1'!$C$21)</f>
        <v>-5734.9419280546344</v>
      </c>
      <c r="G50" s="150">
        <f>G49*(1+'Dane budynku 1'!$C$21)</f>
        <v>-1051.2432597791387</v>
      </c>
      <c r="H50" s="150">
        <f>H49*(1+'Dane budynku 1'!$C$21)</f>
        <v>-2211.8052410575901</v>
      </c>
      <c r="I50" s="150">
        <f>I49*(1+'Dane budynku 1'!$C$21)</f>
        <v>-1911.7450031753294</v>
      </c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251"/>
      <c r="V50" s="251"/>
    </row>
    <row r="51" spans="2:22" x14ac:dyDescent="0.4">
      <c r="B51" s="132">
        <v>10</v>
      </c>
      <c r="C51" s="150">
        <f>C50*(1+'Dane budynku 1'!$C$21)</f>
        <v>-3065.3983868537794</v>
      </c>
      <c r="D51" s="150">
        <f>D50*(1+'Dane budynku 1'!$C$21)</f>
        <v>-3011.203247998902</v>
      </c>
      <c r="E51" s="150">
        <f>E50*(1+'Dane budynku 1'!$C$21)</f>
        <v>-2737.6028625108356</v>
      </c>
      <c r="F51" s="150">
        <f>F50*(1+'Dane budynku 1'!$C$21)</f>
        <v>-5849.6407666157274</v>
      </c>
      <c r="G51" s="150">
        <f>G50*(1+'Dane budynku 1'!$C$21)</f>
        <v>-1072.2681249747216</v>
      </c>
      <c r="H51" s="150">
        <f>H50*(1+'Dane budynku 1'!$C$21)</f>
        <v>-2256.041345878742</v>
      </c>
      <c r="I51" s="150">
        <f>I50*(1+'Dane budynku 1'!$C$21)</f>
        <v>-1949.979903238836</v>
      </c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251"/>
      <c r="V51" s="251"/>
    </row>
    <row r="52" spans="2:22" x14ac:dyDescent="0.4">
      <c r="B52" s="132">
        <v>11</v>
      </c>
      <c r="C52" s="150">
        <f>C51*(1+'Dane budynku 1'!$C$21)</f>
        <v>-3126.706354590855</v>
      </c>
      <c r="D52" s="150">
        <f>D51*(1+'Dane budynku 1'!$C$21)</f>
        <v>-3071.4273129588801</v>
      </c>
      <c r="E52" s="150">
        <f>E51*(1+'Dane budynku 1'!$C$21)</f>
        <v>-2792.3549197610523</v>
      </c>
      <c r="F52" s="150">
        <f>F51*(1+'Dane budynku 1'!$C$21)</f>
        <v>-5966.6335819480419</v>
      </c>
      <c r="G52" s="150">
        <f>G51*(1+'Dane budynku 1'!$C$21)</f>
        <v>-1093.713487474216</v>
      </c>
      <c r="H52" s="150">
        <f>H51*(1+'Dane budynku 1'!$C$21)</f>
        <v>-2301.162172796317</v>
      </c>
      <c r="I52" s="150">
        <f>I51*(1+'Dane budynku 1'!$C$21)</f>
        <v>-1988.9795013036128</v>
      </c>
      <c r="J52" s="134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251"/>
      <c r="V52" s="251"/>
    </row>
    <row r="53" spans="2:22" x14ac:dyDescent="0.4">
      <c r="B53" s="132">
        <v>12</v>
      </c>
      <c r="C53" s="150">
        <f>C52*(1+'Dane budynku 1'!$C$21)</f>
        <v>-3189.240481682672</v>
      </c>
      <c r="D53" s="150">
        <f>D52*(1+'Dane budynku 1'!$C$21)</f>
        <v>-3132.8558592180575</v>
      </c>
      <c r="E53" s="150">
        <f>E52*(1+'Dane budynku 1'!$C$21)</f>
        <v>-2848.2020181562734</v>
      </c>
      <c r="F53" s="150">
        <f>F52*(1+'Dane budynku 1'!$C$21)</f>
        <v>-6085.9662535870029</v>
      </c>
      <c r="G53" s="150">
        <f>G52*(1+'Dane budynku 1'!$C$21)</f>
        <v>-1115.5877572237002</v>
      </c>
      <c r="H53" s="150">
        <f>H52*(1+'Dane budynku 1'!$C$21)</f>
        <v>-2347.1854162522436</v>
      </c>
      <c r="I53" s="150">
        <f>I52*(1+'Dane budynku 1'!$C$21)</f>
        <v>-2028.7590913296851</v>
      </c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251"/>
      <c r="V53" s="251"/>
    </row>
    <row r="54" spans="2:22" x14ac:dyDescent="0.4">
      <c r="B54" s="132">
        <v>13</v>
      </c>
      <c r="C54" s="150">
        <f>C53*(1+'Dane budynku 1'!$C$21)</f>
        <v>-3253.0252913163254</v>
      </c>
      <c r="D54" s="150">
        <f>D53*(1+'Dane budynku 1'!$C$21)</f>
        <v>-3195.5129764024186</v>
      </c>
      <c r="E54" s="150">
        <f>E53*(1+'Dane budynku 1'!$C$21)</f>
        <v>-2905.166058519399</v>
      </c>
      <c r="F54" s="150">
        <f>F53*(1+'Dane budynku 1'!$C$21)</f>
        <v>-6207.685578658743</v>
      </c>
      <c r="G54" s="150">
        <f>G53*(1+'Dane budynku 1'!$C$21)</f>
        <v>-1137.8995123681743</v>
      </c>
      <c r="H54" s="150">
        <f>H53*(1+'Dane budynku 1'!$C$21)</f>
        <v>-2394.1291245772886</v>
      </c>
      <c r="I54" s="150">
        <f>I53*(1+'Dane budynku 1'!$C$21)</f>
        <v>-2069.3342731562789</v>
      </c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251"/>
      <c r="V54" s="251"/>
    </row>
    <row r="55" spans="2:22" x14ac:dyDescent="0.4">
      <c r="B55" s="132">
        <v>14</v>
      </c>
      <c r="C55" s="150">
        <f>C54*(1+'Dane budynku 1'!$C$21)</f>
        <v>-3318.0857971426522</v>
      </c>
      <c r="D55" s="150">
        <f>D54*(1+'Dane budynku 1'!$C$21)</f>
        <v>-3259.4232359304669</v>
      </c>
      <c r="E55" s="150">
        <f>E54*(1+'Dane budynku 1'!$C$21)</f>
        <v>-2963.269379689787</v>
      </c>
      <c r="F55" s="150">
        <f>F54*(1+'Dane budynku 1'!$C$21)</f>
        <v>-6331.8392902319183</v>
      </c>
      <c r="G55" s="150">
        <f>G54*(1+'Dane budynku 1'!$C$21)</f>
        <v>-1160.6575026155379</v>
      </c>
      <c r="H55" s="150">
        <f>H54*(1+'Dane budynku 1'!$C$21)</f>
        <v>-2442.0117070688343</v>
      </c>
      <c r="I55" s="150">
        <f>I54*(1+'Dane budynku 1'!$C$21)</f>
        <v>-2110.7209586194044</v>
      </c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251"/>
      <c r="V55" s="251"/>
    </row>
    <row r="56" spans="2:22" x14ac:dyDescent="0.4">
      <c r="B56" s="132">
        <v>15</v>
      </c>
      <c r="C56" s="150">
        <f>C55*(1+'Dane budynku 1'!$C$21)</f>
        <v>-3384.4475130855053</v>
      </c>
      <c r="D56" s="150">
        <f>D55*(1+'Dane budynku 1'!$C$21)</f>
        <v>-3324.6117006490763</v>
      </c>
      <c r="E56" s="150">
        <f>E55*(1+'Dane budynku 1'!$C$21)</f>
        <v>-3022.5347672835828</v>
      </c>
      <c r="F56" s="150">
        <f>F55*(1+'Dane budynku 1'!$C$21)</f>
        <v>-6458.4760760365571</v>
      </c>
      <c r="G56" s="150">
        <f>G55*(1+'Dane budynku 1'!$C$21)</f>
        <v>-1183.8706526678486</v>
      </c>
      <c r="H56" s="150">
        <f>H55*(1+'Dane budynku 1'!$C$21)</f>
        <v>-2490.851941210211</v>
      </c>
      <c r="I56" s="150">
        <f>I55*(1+'Dane budynku 1'!$C$21)</f>
        <v>-2152.9353777917927</v>
      </c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251"/>
      <c r="V56" s="251"/>
    </row>
    <row r="57" spans="2:22" x14ac:dyDescent="0.4">
      <c r="B57" s="132">
        <v>16</v>
      </c>
      <c r="C57" s="150">
        <f>C56*(1+'Dane budynku 1'!$C$21)</f>
        <v>-3452.1364633472153</v>
      </c>
      <c r="D57" s="150">
        <f>D56*(1+'Dane budynku 1'!$C$21)</f>
        <v>-3391.1039346620578</v>
      </c>
      <c r="E57" s="150">
        <f>E56*(1+'Dane budynku 1'!$C$21)</f>
        <v>-3082.9854626292545</v>
      </c>
      <c r="F57" s="150">
        <f>F56*(1+'Dane budynku 1'!$C$21)</f>
        <v>-6587.6455975572881</v>
      </c>
      <c r="G57" s="150">
        <f>G56*(1+'Dane budynku 1'!$C$21)</f>
        <v>-1207.5480657212056</v>
      </c>
      <c r="H57" s="150">
        <f>H56*(1+'Dane budynku 1'!$C$21)</f>
        <v>-2540.6689800344152</v>
      </c>
      <c r="I57" s="150">
        <f>I56*(1+'Dane budynku 1'!$C$21)</f>
        <v>-2195.9940853476287</v>
      </c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251"/>
      <c r="V57" s="251"/>
    </row>
    <row r="58" spans="2:22" x14ac:dyDescent="0.4">
      <c r="B58" s="132">
        <v>17</v>
      </c>
      <c r="C58" s="150">
        <f>C57*(1+'Dane budynku 1'!$C$21)</f>
        <v>-3521.1791926141595</v>
      </c>
      <c r="D58" s="150">
        <f>D57*(1+'Dane budynku 1'!$C$21)</f>
        <v>-3458.9260133552989</v>
      </c>
      <c r="E58" s="150">
        <f>E57*(1+'Dane budynku 1'!$C$21)</f>
        <v>-3144.6451718818398</v>
      </c>
      <c r="F58" s="150">
        <f>F57*(1+'Dane budynku 1'!$C$21)</f>
        <v>-6719.3985095084336</v>
      </c>
      <c r="G58" s="150">
        <f>G57*(1+'Dane budynku 1'!$C$21)</f>
        <v>-1231.6990270356298</v>
      </c>
      <c r="H58" s="150">
        <f>H57*(1+'Dane budynku 1'!$C$21)</f>
        <v>-2591.4823596351034</v>
      </c>
      <c r="I58" s="150">
        <f>I57*(1+'Dane budynku 1'!$C$21)</f>
        <v>-2239.9139670545815</v>
      </c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251"/>
      <c r="V58" s="251"/>
    </row>
    <row r="59" spans="2:22" x14ac:dyDescent="0.4">
      <c r="B59" s="132">
        <v>18</v>
      </c>
      <c r="C59" s="150">
        <f>C58*(1+'Dane budynku 1'!$C$21)</f>
        <v>-3591.6027764664427</v>
      </c>
      <c r="D59" s="150">
        <f>D58*(1+'Dane budynku 1'!$C$21)</f>
        <v>-3528.1045336224051</v>
      </c>
      <c r="E59" s="150">
        <f>E58*(1+'Dane budynku 1'!$C$21)</f>
        <v>-3207.5380753194768</v>
      </c>
      <c r="F59" s="150">
        <f>F58*(1+'Dane budynku 1'!$C$21)</f>
        <v>-6853.7864796986023</v>
      </c>
      <c r="G59" s="150">
        <f>G58*(1+'Dane budynku 1'!$C$21)</f>
        <v>-1256.3330075763424</v>
      </c>
      <c r="H59" s="150">
        <f>H58*(1+'Dane budynku 1'!$C$21)</f>
        <v>-2643.3120068278054</v>
      </c>
      <c r="I59" s="150">
        <f>I58*(1+'Dane budynku 1'!$C$21)</f>
        <v>-2284.712246395673</v>
      </c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251"/>
      <c r="V59" s="251"/>
    </row>
    <row r="60" spans="2:22" x14ac:dyDescent="0.4">
      <c r="B60" s="132">
        <v>19</v>
      </c>
      <c r="C60" s="150">
        <f>C59*(1+'Dane budynku 1'!$C$21)</f>
        <v>-3663.4348319957717</v>
      </c>
      <c r="D60" s="150">
        <f>D59*(1+'Dane budynku 1'!$C$21)</f>
        <v>-3598.6666242948531</v>
      </c>
      <c r="E60" s="150">
        <f>E59*(1+'Dane budynku 1'!$C$21)</f>
        <v>-3271.6888368258665</v>
      </c>
      <c r="F60" s="150">
        <f>F59*(1+'Dane budynku 1'!$C$21)</f>
        <v>-6990.8622092925743</v>
      </c>
      <c r="G60" s="150">
        <f>G59*(1+'Dane budynku 1'!$C$21)</f>
        <v>-1281.4596677278694</v>
      </c>
      <c r="H60" s="150">
        <f>H59*(1+'Dane budynku 1'!$C$21)</f>
        <v>-2696.1782469643617</v>
      </c>
      <c r="I60" s="150">
        <f>I59*(1+'Dane budynku 1'!$C$21)</f>
        <v>-2330.4064913235866</v>
      </c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251"/>
      <c r="V60" s="251"/>
    </row>
    <row r="61" spans="2:22" x14ac:dyDescent="0.4">
      <c r="B61" s="132">
        <v>20</v>
      </c>
      <c r="C61" s="150">
        <f>C60*(1+'Dane budynku 1'!$C$21)</f>
        <v>-3736.7035286356872</v>
      </c>
      <c r="D61" s="150">
        <f>D60*(1+'Dane budynku 1'!$C$21)</f>
        <v>-3670.6399567807503</v>
      </c>
      <c r="E61" s="150">
        <f>E60*(1+'Dane budynku 1'!$C$21)</f>
        <v>-3337.1226135623838</v>
      </c>
      <c r="F61" s="150">
        <f>F60*(1+'Dane budynku 1'!$C$21)</f>
        <v>-7130.6794534784258</v>
      </c>
      <c r="G61" s="150">
        <f>G60*(1+'Dane budynku 1'!$C$21)</f>
        <v>-1307.0888610824268</v>
      </c>
      <c r="H61" s="150">
        <f>H60*(1+'Dane budynku 1'!$C$21)</f>
        <v>-2750.1018119036489</v>
      </c>
      <c r="I61" s="150">
        <f>I60*(1+'Dane budynku 1'!$C$21)</f>
        <v>-2377.0146211500582</v>
      </c>
      <c r="J61" s="134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251"/>
      <c r="V61" s="251"/>
    </row>
    <row r="62" spans="2:22" x14ac:dyDescent="0.4">
      <c r="B62" s="132">
        <v>21</v>
      </c>
      <c r="C62" s="150">
        <f>C61*(1+'Dane budynku 1'!$C$21)</f>
        <v>-3811.437599208401</v>
      </c>
      <c r="D62" s="150">
        <f>D61*(1+'Dane budynku 1'!$C$21)</f>
        <v>-3744.0527559163652</v>
      </c>
      <c r="E62" s="150">
        <f>E61*(1+'Dane budynku 1'!$C$21)</f>
        <v>-3403.8650658336314</v>
      </c>
      <c r="F62" s="150">
        <f>F61*(1+'Dane budynku 1'!$C$21)</f>
        <v>-7273.2930425479944</v>
      </c>
      <c r="G62" s="150">
        <f>G61*(1+'Dane budynku 1'!$C$21)</f>
        <v>-1333.2306383040752</v>
      </c>
      <c r="H62" s="150">
        <f>H61*(1+'Dane budynku 1'!$C$21)</f>
        <v>-2805.1038481417218</v>
      </c>
      <c r="I62" s="150">
        <f>I61*(1+'Dane budynku 1'!$C$21)</f>
        <v>-2424.5549135730594</v>
      </c>
      <c r="J62" s="134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251"/>
      <c r="V62" s="251"/>
    </row>
    <row r="63" spans="2:22" x14ac:dyDescent="0.4">
      <c r="B63" s="132">
        <v>22</v>
      </c>
      <c r="C63" s="150">
        <f>C62*(1+'Dane budynku 1'!$C$21)</f>
        <v>-3887.666351192569</v>
      </c>
      <c r="D63" s="150">
        <f>D62*(1+'Dane budynku 1'!$C$21)</f>
        <v>-3818.9338110346926</v>
      </c>
      <c r="E63" s="150">
        <f>E62*(1+'Dane budynku 1'!$C$21)</f>
        <v>-3471.9423671503041</v>
      </c>
      <c r="F63" s="150">
        <f>F62*(1+'Dane budynku 1'!$C$21)</f>
        <v>-7418.7589033989543</v>
      </c>
      <c r="G63" s="150">
        <f>G62*(1+'Dane budynku 1'!$C$21)</f>
        <v>-1359.8952510701567</v>
      </c>
      <c r="H63" s="150">
        <f>H62*(1+'Dane budynku 1'!$C$21)</f>
        <v>-2861.2059251045562</v>
      </c>
      <c r="I63" s="150">
        <f>I62*(1+'Dane budynku 1'!$C$21)</f>
        <v>-2473.0460118445208</v>
      </c>
      <c r="J63" s="134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251"/>
      <c r="V63" s="251"/>
    </row>
    <row r="64" spans="2:22" x14ac:dyDescent="0.4">
      <c r="B64" s="132">
        <v>23</v>
      </c>
      <c r="C64" s="150">
        <f>C63*(1+'Dane budynku 1'!$C$21)</f>
        <v>-3965.4196782164204</v>
      </c>
      <c r="D64" s="150">
        <f>D63*(1+'Dane budynku 1'!$C$21)</f>
        <v>-3895.3124872553863</v>
      </c>
      <c r="E64" s="150">
        <f>E63*(1+'Dane budynku 1'!$C$21)</f>
        <v>-3541.3812144933104</v>
      </c>
      <c r="F64" s="150">
        <f>F63*(1+'Dane budynku 1'!$C$21)</f>
        <v>-7567.1340814669338</v>
      </c>
      <c r="G64" s="150">
        <f>G63*(1+'Dane budynku 1'!$C$21)</f>
        <v>-1387.0931560915599</v>
      </c>
      <c r="H64" s="150">
        <f>H63*(1+'Dane budynku 1'!$C$21)</f>
        <v>-2918.4300436066474</v>
      </c>
      <c r="I64" s="150">
        <f>I63*(1+'Dane budynku 1'!$C$21)</f>
        <v>-2522.5069320814114</v>
      </c>
      <c r="J64" s="134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251"/>
      <c r="V64" s="251"/>
    </row>
    <row r="65" spans="2:22" x14ac:dyDescent="0.4">
      <c r="B65" s="132">
        <v>24</v>
      </c>
      <c r="C65" s="150">
        <f>C64*(1+'Dane budynku 1'!$C$21)</f>
        <v>-4044.7280717807489</v>
      </c>
      <c r="D65" s="150">
        <f>D64*(1+'Dane budynku 1'!$C$21)</f>
        <v>-3973.218737000494</v>
      </c>
      <c r="E65" s="150">
        <f>E64*(1+'Dane budynku 1'!$C$21)</f>
        <v>-3612.2088387831768</v>
      </c>
      <c r="F65" s="150">
        <f>F64*(1+'Dane budynku 1'!$C$21)</f>
        <v>-7718.4767630962724</v>
      </c>
      <c r="G65" s="150">
        <f>G64*(1+'Dane budynku 1'!$C$21)</f>
        <v>-1414.8350192133912</v>
      </c>
      <c r="H65" s="150">
        <f>H64*(1+'Dane budynku 1'!$C$21)</f>
        <v>-2976.7986444787803</v>
      </c>
      <c r="I65" s="150">
        <f>I64*(1+'Dane budynku 1'!$C$21)</f>
        <v>-2572.9570707230396</v>
      </c>
      <c r="J65" s="134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251"/>
      <c r="V65" s="251"/>
    </row>
    <row r="66" spans="2:22" x14ac:dyDescent="0.4">
      <c r="B66" s="132">
        <v>25</v>
      </c>
      <c r="C66" s="150">
        <f>C65*(1+'Dane budynku 1'!$C$21)</f>
        <v>-4125.6226332163642</v>
      </c>
      <c r="D66" s="150">
        <f>D65*(1+'Dane budynku 1'!$C$21)</f>
        <v>-4052.683111740504</v>
      </c>
      <c r="E66" s="150">
        <f>E65*(1+'Dane budynku 1'!$C$21)</f>
        <v>-3684.4530155588404</v>
      </c>
      <c r="F66" s="150">
        <f>F65*(1+'Dane budynku 1'!$C$21)</f>
        <v>-7872.8462983581976</v>
      </c>
      <c r="G66" s="150">
        <f>G65*(1+'Dane budynku 1'!$C$21)</f>
        <v>-1443.131719597659</v>
      </c>
      <c r="H66" s="150">
        <f>H65*(1+'Dane budynku 1'!$C$21)</f>
        <v>-3036.3346173683558</v>
      </c>
      <c r="I66" s="150">
        <f>I65*(1+'Dane budynku 1'!$C$21)</f>
        <v>-2624.4162121375002</v>
      </c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251"/>
      <c r="V66" s="251"/>
    </row>
    <row r="67" spans="2:22" x14ac:dyDescent="0.4">
      <c r="B67" s="132">
        <v>26</v>
      </c>
      <c r="C67" s="150">
        <f>C66*(1+'Dane budynku 1'!$C$21)</f>
        <v>-4208.1350858806918</v>
      </c>
      <c r="D67" s="150">
        <f>D66*(1+'Dane budynku 1'!$C$21)</f>
        <v>-4133.7367739753145</v>
      </c>
      <c r="E67" s="150">
        <f>E66*(1+'Dane budynku 1'!$C$21)</f>
        <v>-3758.1420758700174</v>
      </c>
      <c r="F67" s="150">
        <f>F66*(1+'Dane budynku 1'!$C$21)</f>
        <v>-8030.303224325362</v>
      </c>
      <c r="G67" s="150">
        <f>G66*(1+'Dane budynku 1'!$C$21)</f>
        <v>-1471.9943539896121</v>
      </c>
      <c r="H67" s="150">
        <f>H66*(1+'Dane budynku 1'!$C$21)</f>
        <v>-3097.0613097157229</v>
      </c>
      <c r="I67" s="150">
        <f>I66*(1+'Dane budynku 1'!$C$21)</f>
        <v>-2676.9045363802502</v>
      </c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251"/>
      <c r="V67" s="251"/>
    </row>
    <row r="68" spans="2:22" x14ac:dyDescent="0.4">
      <c r="B68" s="132">
        <v>27</v>
      </c>
      <c r="C68" s="150">
        <f>C67*(1+'Dane budynku 1'!$C$21)</f>
        <v>-4292.2977875983061</v>
      </c>
      <c r="D68" s="150">
        <f>D67*(1+'Dane budynku 1'!$C$21)</f>
        <v>-4216.4115094548206</v>
      </c>
      <c r="E68" s="150">
        <f>E67*(1+'Dane budynku 1'!$C$21)</f>
        <v>-3833.3049173874178</v>
      </c>
      <c r="F68" s="150">
        <f>F67*(1+'Dane budynku 1'!$C$21)</f>
        <v>-8190.9092888118694</v>
      </c>
      <c r="G68" s="150">
        <f>G67*(1+'Dane budynku 1'!$C$21)</f>
        <v>-1501.4342410694044</v>
      </c>
      <c r="H68" s="150">
        <f>H67*(1+'Dane budynku 1'!$C$21)</f>
        <v>-3159.0025359100373</v>
      </c>
      <c r="I68" s="150">
        <f>I67*(1+'Dane budynku 1'!$C$21)</f>
        <v>-2730.4426271078551</v>
      </c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251"/>
      <c r="V68" s="251"/>
    </row>
    <row r="69" spans="2:22" x14ac:dyDescent="0.4">
      <c r="B69" s="132">
        <v>28</v>
      </c>
      <c r="C69" s="150">
        <f>C68*(1+'Dane budynku 1'!$C$21)</f>
        <v>-4378.1437433502724</v>
      </c>
      <c r="D69" s="150">
        <f>D68*(1+'Dane budynku 1'!$C$21)</f>
        <v>-4300.7397396439173</v>
      </c>
      <c r="E69" s="150">
        <f>E68*(1+'Dane budynku 1'!$C$21)</f>
        <v>-3909.9710157351665</v>
      </c>
      <c r="F69" s="150">
        <f>F68*(1+'Dane budynku 1'!$C$21)</f>
        <v>-8354.7274745881077</v>
      </c>
      <c r="G69" s="150">
        <f>G68*(1+'Dane budynku 1'!$C$21)</f>
        <v>-1531.4629258907926</v>
      </c>
      <c r="H69" s="150">
        <f>H68*(1+'Dane budynku 1'!$C$21)</f>
        <v>-3222.1825866282379</v>
      </c>
      <c r="I69" s="150">
        <f>I68*(1+'Dane budynku 1'!$C$21)</f>
        <v>-2785.0514796500124</v>
      </c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251"/>
      <c r="V69" s="251"/>
    </row>
    <row r="70" spans="2:22" x14ac:dyDescent="0.4">
      <c r="B70" s="132">
        <v>29</v>
      </c>
      <c r="C70" s="150">
        <f>C69*(1+'Dane budynku 1'!$C$21)</f>
        <v>-4465.7066182172775</v>
      </c>
      <c r="D70" s="150">
        <f>D69*(1+'Dane budynku 1'!$C$21)</f>
        <v>-4386.7545344367954</v>
      </c>
      <c r="E70" s="150">
        <f>E69*(1+'Dane budynku 1'!$C$21)</f>
        <v>-3988.1704360498697</v>
      </c>
      <c r="F70" s="150">
        <f>F69*(1+'Dane budynku 1'!$C$21)</f>
        <v>-8521.8220240798692</v>
      </c>
      <c r="G70" s="150">
        <f>G69*(1+'Dane budynku 1'!$C$21)</f>
        <v>-1562.0921844086085</v>
      </c>
      <c r="H70" s="150">
        <f>H69*(1+'Dane budynku 1'!$C$21)</f>
        <v>-3286.6262383608027</v>
      </c>
      <c r="I70" s="150">
        <f>I69*(1+'Dane budynku 1'!$C$21)</f>
        <v>-2840.7525092430128</v>
      </c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251"/>
      <c r="V70" s="251"/>
    </row>
    <row r="71" spans="2:22" x14ac:dyDescent="0.4">
      <c r="B71" s="132">
        <v>30</v>
      </c>
      <c r="C71" s="150">
        <f>C70*(1+'Dane budynku 1'!$C$21)</f>
        <v>-4555.0207505816234</v>
      </c>
      <c r="D71" s="150">
        <f>D70*(1+'Dane budynku 1'!$C$21)</f>
        <v>-4474.4896251255313</v>
      </c>
      <c r="E71" s="150">
        <f>E70*(1+'Dane budynku 1'!$C$21)</f>
        <v>-4067.9338447708674</v>
      </c>
      <c r="F71" s="150">
        <f>F70*(1+'Dane budynku 1'!$C$21)</f>
        <v>-8692.2584645614661</v>
      </c>
      <c r="G71" s="150">
        <f>G70*(1+'Dane budynku 1'!$C$21)</f>
        <v>-1593.3340280967807</v>
      </c>
      <c r="H71" s="150">
        <f>H70*(1+'Dane budynku 1'!$C$21)</f>
        <v>-3352.3587631280188</v>
      </c>
      <c r="I71" s="150">
        <f>I70*(1+'Dane budynku 1'!$C$21)</f>
        <v>-2897.5675594278732</v>
      </c>
      <c r="J71" s="134"/>
      <c r="K71" s="134"/>
      <c r="L71" s="134"/>
      <c r="M71" s="134"/>
      <c r="N71" s="134"/>
      <c r="O71" s="134"/>
      <c r="P71" s="134"/>
      <c r="Q71" s="134"/>
      <c r="R71" s="134"/>
      <c r="S71" s="134"/>
      <c r="T71" s="134"/>
      <c r="U71" s="251"/>
      <c r="V71" s="251"/>
    </row>
    <row r="72" spans="2:22" x14ac:dyDescent="0.4">
      <c r="B72" s="132"/>
      <c r="C72" s="150"/>
      <c r="D72" s="150"/>
      <c r="E72" s="150"/>
      <c r="F72" s="150"/>
      <c r="G72" s="150"/>
      <c r="H72" s="150"/>
      <c r="I72" s="150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251"/>
      <c r="V72" s="251"/>
    </row>
    <row r="73" spans="2:22" x14ac:dyDescent="0.4">
      <c r="B73" s="134">
        <v>0</v>
      </c>
      <c r="C73" s="150">
        <f>C41</f>
        <v>-20900</v>
      </c>
      <c r="D73" s="150">
        <f t="shared" ref="D73:I73" si="0">D41</f>
        <v>-38500</v>
      </c>
      <c r="E73" s="150">
        <f t="shared" si="0"/>
        <v>-34600</v>
      </c>
      <c r="F73" s="150">
        <f t="shared" si="0"/>
        <v>-9850</v>
      </c>
      <c r="G73" s="150">
        <f t="shared" si="0"/>
        <v>-30787.166666666664</v>
      </c>
      <c r="H73" s="150">
        <f t="shared" si="0"/>
        <v>-19600</v>
      </c>
      <c r="I73" s="150">
        <f t="shared" si="0"/>
        <v>-32200</v>
      </c>
      <c r="J73" s="150">
        <v>200000</v>
      </c>
      <c r="K73" s="134">
        <f t="shared" ref="K73:Q73" si="1">IF(C73-$H73&gt;0,1,)</f>
        <v>0</v>
      </c>
      <c r="L73" s="134">
        <f t="shared" si="1"/>
        <v>0</v>
      </c>
      <c r="M73" s="134">
        <f t="shared" si="1"/>
        <v>0</v>
      </c>
      <c r="N73" s="134">
        <f t="shared" si="1"/>
        <v>1</v>
      </c>
      <c r="O73" s="134">
        <f t="shared" si="1"/>
        <v>0</v>
      </c>
      <c r="P73" s="134">
        <f t="shared" si="1"/>
        <v>0</v>
      </c>
      <c r="Q73" s="134">
        <f t="shared" si="1"/>
        <v>0</v>
      </c>
      <c r="R73" s="134"/>
      <c r="S73" s="134"/>
      <c r="T73" s="134"/>
      <c r="U73" s="251"/>
      <c r="V73" s="251"/>
    </row>
    <row r="74" spans="2:22" x14ac:dyDescent="0.4">
      <c r="B74" s="134">
        <v>1</v>
      </c>
      <c r="C74" s="150">
        <f>NPV('Dane budynku 1'!q,'Wykres kosztów zakumulowanych'!C$42:C42)+'Wykres kosztów zakumulowanych'!C$41</f>
        <v>-23399.988540153463</v>
      </c>
      <c r="D74" s="150">
        <f>NPV('Dane budynku 1'!q,'Wykres kosztów zakumulowanych'!D$42:D42)+'Wykres kosztów zakumulowanych'!D$41</f>
        <v>-40955.789643641263</v>
      </c>
      <c r="E74" s="150">
        <f>NPV('Dane budynku 1'!q,'Wykres kosztów zakumulowanych'!E$42:E42)+'Wykres kosztów zakumulowanych'!E$41</f>
        <v>-36832.654591690065</v>
      </c>
      <c r="F74" s="150">
        <f>NPV('Dane budynku 1'!q,'Wykres kosztów zakumulowanych'!F$42:F42)+'Wykres kosztów zakumulowanych'!F$41</f>
        <v>-14620.68003404394</v>
      </c>
      <c r="G74" s="150">
        <f>NPV('Dane budynku 1'!q,'Wykres kosztów zakumulowanych'!G$42:G42)+'Wykres kosztów zakumulowanych'!G$41</f>
        <v>-31661.655945419101</v>
      </c>
      <c r="H74" s="150">
        <f>NPV('Dane budynku 1'!q,'Wykres kosztów zakumulowanych'!H$42:H42)+'Wykres kosztów zakumulowanych'!H$41</f>
        <v>-21439.916643460503</v>
      </c>
      <c r="I74" s="150">
        <f>NPV('Dane budynku 1'!q,'Wykres kosztów zakumulowanych'!I$42:I42)+'Wykres kosztów zakumulowanych'!I$41</f>
        <v>-33790.307945790402</v>
      </c>
      <c r="J74" s="150">
        <v>200000</v>
      </c>
      <c r="K74" s="134">
        <f t="shared" ref="K74:K92" si="2">IF(C74-$H74&gt;0,1,)</f>
        <v>0</v>
      </c>
      <c r="L74" s="134">
        <f t="shared" ref="L74:L92" si="3">IF(D74-$H74&gt;0,1,)</f>
        <v>0</v>
      </c>
      <c r="M74" s="134">
        <f t="shared" ref="M74:M92" si="4">IF(E74-$H74&gt;0,1,)</f>
        <v>0</v>
      </c>
      <c r="N74" s="134">
        <f t="shared" ref="N74:N92" si="5">IF(F74-$H74&gt;0,1,)</f>
        <v>1</v>
      </c>
      <c r="O74" s="134">
        <f t="shared" ref="O74:O92" si="6">IF(G74-$H74&gt;0,1,)</f>
        <v>0</v>
      </c>
      <c r="P74" s="134">
        <f t="shared" ref="P74:P92" si="7">IF(H74-$H74&gt;0,1,)</f>
        <v>0</v>
      </c>
      <c r="Q74" s="134">
        <f t="shared" ref="Q74:Q92" si="8">IF(I74-$H74&gt;0,1,)</f>
        <v>0</v>
      </c>
      <c r="R74" s="134"/>
      <c r="S74" s="134"/>
      <c r="T74" s="134"/>
      <c r="U74" s="251"/>
      <c r="V74" s="251"/>
    </row>
    <row r="75" spans="2:22" x14ac:dyDescent="0.4">
      <c r="B75" s="134">
        <v>2</v>
      </c>
      <c r="C75" s="150">
        <f>NPV('Dane budynku 1'!q,'Wykres kosztów zakumulowanych'!C$42:C43)+'Wykres kosztów zakumulowanych'!C$41</f>
        <v>-25885.357264282633</v>
      </c>
      <c r="D75" s="150">
        <f>NPV('Dane budynku 1'!q,'Wykres kosztów zakumulowanych'!D$42:D43)+'Wykres kosztów zakumulowanych'!D$41</f>
        <v>-43397.217944337252</v>
      </c>
      <c r="E75" s="150">
        <f>NPV('Dane budynku 1'!q,'Wykres kosztów zakumulowanych'!E$42:E43)+'Wykres kosztów zakumulowanych'!E$41</f>
        <v>-39052.252723779602</v>
      </c>
      <c r="F75" s="150">
        <f>NPV('Dane budynku 1'!q,'Wykres kosztów zakumulowanych'!F$42:F43)+'Wykres kosztów zakumulowanych'!F$41</f>
        <v>-19363.461354438499</v>
      </c>
      <c r="G75" s="150">
        <f>NPV('Dane budynku 1'!q,'Wykres kosztów zakumulowanych'!G$42:G43)+'Wykres kosztów zakumulowanych'!G$41</f>
        <v>-32531.031251781173</v>
      </c>
      <c r="H75" s="150">
        <f>NPV('Dane budynku 1'!q,'Wykres kosztów zakumulowanych'!H$42:H43)+'Wykres kosztów zakumulowanych'!H$41</f>
        <v>-23269.07354046802</v>
      </c>
      <c r="I75" s="150">
        <f>NPV('Dane budynku 1'!q,'Wykres kosztów zakumulowanych'!I$42:I43)+'Wykres kosztów zakumulowanych'!I$41</f>
        <v>-35371.315845114194</v>
      </c>
      <c r="J75" s="150">
        <v>200000</v>
      </c>
      <c r="K75" s="134">
        <f t="shared" si="2"/>
        <v>0</v>
      </c>
      <c r="L75" s="134">
        <f t="shared" si="3"/>
        <v>0</v>
      </c>
      <c r="M75" s="134">
        <f t="shared" si="4"/>
        <v>0</v>
      </c>
      <c r="N75" s="134">
        <f t="shared" si="5"/>
        <v>1</v>
      </c>
      <c r="O75" s="134">
        <f t="shared" si="6"/>
        <v>0</v>
      </c>
      <c r="P75" s="134">
        <f t="shared" si="7"/>
        <v>0</v>
      </c>
      <c r="Q75" s="134">
        <f t="shared" si="8"/>
        <v>0</v>
      </c>
      <c r="R75" s="134"/>
      <c r="S75" s="134"/>
      <c r="T75" s="134"/>
      <c r="U75" s="251"/>
      <c r="V75" s="251"/>
    </row>
    <row r="76" spans="2:22" x14ac:dyDescent="0.4">
      <c r="B76" s="134">
        <v>3</v>
      </c>
      <c r="C76" s="150">
        <f>NPV('Dane budynku 1'!q,'Wykres kosztów zakumulowanych'!C$42:C44)+'Wykres kosztów zakumulowanych'!C$41</f>
        <v>-28356.191668387663</v>
      </c>
      <c r="D76" s="150">
        <f>NPV('Dane budynku 1'!q,'Wykres kosztów zakumulowanych'!D$42:D44)+'Wykres kosztów zakumulowanych'!D$41</f>
        <v>-45824.368886549637</v>
      </c>
      <c r="E76" s="150">
        <f>NPV('Dane budynku 1'!q,'Wykres kosztów zakumulowanych'!E$42:E44)+'Wykres kosztów zakumulowanych'!E$41</f>
        <v>-41258.870749833528</v>
      </c>
      <c r="F76" s="150">
        <f>NPV('Dane budynku 1'!q,'Wykres kosztów zakumulowanych'!F$42:F44)+'Wykres kosztów zakumulowanych'!F$41</f>
        <v>-24078.5071115559</v>
      </c>
      <c r="G76" s="150">
        <f>NPV('Dane budynku 1'!q,'Wykres kosztów zakumulowanych'!G$42:G44)+'Wykres kosztów zakumulowanych'!G$41</f>
        <v>-33395.32249202417</v>
      </c>
      <c r="H76" s="150">
        <f>NPV('Dane budynku 1'!q,'Wykres kosztów zakumulowanych'!H$42:H44)+'Wykres kosztów zakumulowanych'!H$41</f>
        <v>-25087.533613516433</v>
      </c>
      <c r="I76" s="150">
        <f>NPV('Dane budynku 1'!q,'Wykres kosztów zakumulowanych'!I$42:I44)+'Wykres kosztów zakumulowanych'!I$41</f>
        <v>-36943.07808420802</v>
      </c>
      <c r="J76" s="150">
        <v>200000</v>
      </c>
      <c r="K76" s="134">
        <f t="shared" si="2"/>
        <v>0</v>
      </c>
      <c r="L76" s="134">
        <f t="shared" si="3"/>
        <v>0</v>
      </c>
      <c r="M76" s="134">
        <f t="shared" si="4"/>
        <v>0</v>
      </c>
      <c r="N76" s="134">
        <f t="shared" si="5"/>
        <v>1</v>
      </c>
      <c r="O76" s="134">
        <f t="shared" si="6"/>
        <v>0</v>
      </c>
      <c r="P76" s="134">
        <f t="shared" si="7"/>
        <v>0</v>
      </c>
      <c r="Q76" s="134">
        <f t="shared" si="8"/>
        <v>0</v>
      </c>
      <c r="R76" s="134"/>
      <c r="S76" s="134"/>
      <c r="T76" s="134"/>
      <c r="U76" s="251"/>
      <c r="V76" s="251"/>
    </row>
    <row r="77" spans="2:22" x14ac:dyDescent="0.4">
      <c r="B77" s="134">
        <v>4</v>
      </c>
      <c r="C77" s="150">
        <f>NPV('Dane budynku 1'!q,'Wykres kosztów zakumulowanych'!C$42:C45)+'Wykres kosztów zakumulowanych'!C$41</f>
        <v>-30812.576748492073</v>
      </c>
      <c r="D77" s="150">
        <f>NPV('Dane budynku 1'!q,'Wykres kosztów zakumulowanych'!D$42:D45)+'Wykres kosztów zakumulowanych'!D$41</f>
        <v>-48237.325963602889</v>
      </c>
      <c r="E77" s="150">
        <f>NPV('Dane budynku 1'!q,'Wykres kosztów zakumulowanych'!E$42:E45)+'Wykres kosztów zakumulowanych'!E$41</f>
        <v>-43452.584576904679</v>
      </c>
      <c r="F77" s="150">
        <f>NPV('Dane budynku 1'!q,'Wykres kosztów zakumulowanych'!F$42:F45)+'Wykres kosztów zakumulowanych'!F$41</f>
        <v>-28765.979501672613</v>
      </c>
      <c r="G77" s="150">
        <f>NPV('Dane budynku 1'!q,'Wykres kosztów zakumulowanych'!G$42:G45)+'Wykres kosztów zakumulowanych'!G$41</f>
        <v>-34254.559397528901</v>
      </c>
      <c r="H77" s="150">
        <f>NPV('Dane budynku 1'!q,'Wykres kosztów zakumulowanych'!H$42:H45)+'Wykres kosztów zakumulowanych'!H$41</f>
        <v>-26895.359417131807</v>
      </c>
      <c r="I77" s="150">
        <f>NPV('Dane budynku 1'!q,'Wykres kosztów zakumulowanych'!I$42:I45)+'Wykres kosztów zakumulowanych'!I$41</f>
        <v>-38505.648731260364</v>
      </c>
      <c r="J77" s="150">
        <v>200000</v>
      </c>
      <c r="K77" s="134">
        <f t="shared" si="2"/>
        <v>0</v>
      </c>
      <c r="L77" s="134">
        <f t="shared" si="3"/>
        <v>0</v>
      </c>
      <c r="M77" s="134">
        <f t="shared" si="4"/>
        <v>0</v>
      </c>
      <c r="N77" s="134">
        <f t="shared" si="5"/>
        <v>0</v>
      </c>
      <c r="O77" s="134">
        <f t="shared" si="6"/>
        <v>0</v>
      </c>
      <c r="P77" s="134">
        <f t="shared" si="7"/>
        <v>0</v>
      </c>
      <c r="Q77" s="134">
        <f t="shared" si="8"/>
        <v>0</v>
      </c>
      <c r="R77" s="134"/>
      <c r="S77" s="134"/>
      <c r="T77" s="134"/>
      <c r="U77" s="251"/>
      <c r="V77" s="251"/>
    </row>
    <row r="78" spans="2:22" x14ac:dyDescent="0.4">
      <c r="B78" s="134">
        <v>5</v>
      </c>
      <c r="C78" s="150">
        <f>NPV('Dane budynku 1'!q,'Wykres kosztów zakumulowanych'!C$42:C46)+'Wykres kosztów zakumulowanych'!C$41</f>
        <v>-33254.597003566632</v>
      </c>
      <c r="D78" s="150">
        <f>NPV('Dane budynku 1'!q,'Wykres kosztów zakumulowanych'!D$42:D46)+'Wykres kosztów zakumulowanych'!D$41</f>
        <v>-50636.172180556416</v>
      </c>
      <c r="E78" s="150">
        <f>NPV('Dane budynku 1'!q,'Wykres kosztów zakumulowanych'!E$42:E46)+'Wykres kosztów zakumulowanych'!E$41</f>
        <v>-45633.469668145</v>
      </c>
      <c r="F78" s="150">
        <f>NPV('Dane budynku 1'!q,'Wykres kosztów zakumulowanych'!F$42:F46)+'Wykres kosztów zakumulowanych'!F$41</f>
        <v>-33426.039772548873</v>
      </c>
      <c r="G78" s="150">
        <f>NPV('Dane budynku 1'!q,'Wykres kosztów zakumulowanych'!G$42:G46)+'Wykres kosztów zakumulowanych'!G$41</f>
        <v>-35108.771525808457</v>
      </c>
      <c r="H78" s="150">
        <f>NPV('Dane budynku 1'!q,'Wykres kosztów zakumulowanych'!H$42:H46)+'Wykres kosztów zakumulowanych'!H$41</f>
        <v>-28692.613140024288</v>
      </c>
      <c r="I78" s="150">
        <f>NPV('Dane budynku 1'!q,'Wykres kosztów zakumulowanych'!I$42:I46)+'Wykres kosztów zakumulowanych'!I$41</f>
        <v>-40059.081538271465</v>
      </c>
      <c r="J78" s="150">
        <v>200000</v>
      </c>
      <c r="K78" s="134">
        <f t="shared" si="2"/>
        <v>0</v>
      </c>
      <c r="L78" s="134">
        <f t="shared" si="3"/>
        <v>0</v>
      </c>
      <c r="M78" s="134">
        <f t="shared" si="4"/>
        <v>0</v>
      </c>
      <c r="N78" s="134">
        <f t="shared" si="5"/>
        <v>0</v>
      </c>
      <c r="O78" s="134">
        <f t="shared" si="6"/>
        <v>0</v>
      </c>
      <c r="P78" s="134">
        <f t="shared" si="7"/>
        <v>0</v>
      </c>
      <c r="Q78" s="134">
        <f t="shared" si="8"/>
        <v>0</v>
      </c>
      <c r="R78" s="134"/>
      <c r="S78" s="134"/>
      <c r="T78" s="134"/>
      <c r="U78" s="251"/>
      <c r="V78" s="251"/>
    </row>
    <row r="79" spans="2:22" x14ac:dyDescent="0.4">
      <c r="B79" s="134">
        <v>6</v>
      </c>
      <c r="C79" s="150">
        <f>NPV('Dane budynku 1'!q,'Wykres kosztów zakumulowanych'!C$42:C47)+'Wykres kosztów zakumulowanych'!C$41</f>
        <v>-35682.336438436076</v>
      </c>
      <c r="D79" s="150">
        <f>NPV('Dane budynku 1'!q,'Wykres kosztów zakumulowanych'!D$42:D47)+'Wykres kosztów zakumulowanych'!D$41</f>
        <v>-53020.990057059913</v>
      </c>
      <c r="E79" s="150">
        <f>NPV('Dane budynku 1'!q,'Wykres kosztów zakumulowanych'!E$42:E47)+'Wykres kosztów zakumulowanych'!E$41</f>
        <v>-47801.601045401469</v>
      </c>
      <c r="F79" s="150">
        <f>NPV('Dane budynku 1'!q,'Wykres kosztów zakumulowanych'!F$42:F47)+'Wykres kosztów zakumulowanych'!F$41</f>
        <v>-38058.84822897557</v>
      </c>
      <c r="G79" s="150">
        <f>NPV('Dane budynku 1'!q,'Wykres kosztów zakumulowanych'!G$42:G47)+'Wykres kosztów zakumulowanych'!G$41</f>
        <v>-35957.988261524973</v>
      </c>
      <c r="H79" s="150">
        <f>NPV('Dane budynku 1'!q,'Wykres kosztów zakumulowanych'!H$42:H47)+'Wykres kosztów zakumulowanych'!H$41</f>
        <v>-30479.356607227339</v>
      </c>
      <c r="I79" s="150">
        <f>NPV('Dane budynku 1'!q,'Wykres kosztów zakumulowanych'!I$42:I47)+'Wykres kosztów zakumulowanych'!I$41</f>
        <v>-41603.429942902389</v>
      </c>
      <c r="J79" s="150">
        <v>200000</v>
      </c>
      <c r="K79" s="134">
        <f t="shared" si="2"/>
        <v>0</v>
      </c>
      <c r="L79" s="134">
        <f t="shared" si="3"/>
        <v>0</v>
      </c>
      <c r="M79" s="134">
        <f t="shared" si="4"/>
        <v>0</v>
      </c>
      <c r="N79" s="134">
        <f t="shared" si="5"/>
        <v>0</v>
      </c>
      <c r="O79" s="134">
        <f t="shared" si="6"/>
        <v>0</v>
      </c>
      <c r="P79" s="134">
        <f t="shared" si="7"/>
        <v>0</v>
      </c>
      <c r="Q79" s="134">
        <f t="shared" si="8"/>
        <v>0</v>
      </c>
      <c r="R79" s="134"/>
      <c r="S79" s="134"/>
      <c r="T79" s="134"/>
      <c r="U79" s="251"/>
      <c r="V79" s="251"/>
    </row>
    <row r="80" spans="2:22" x14ac:dyDescent="0.4">
      <c r="B80" s="134">
        <v>7</v>
      </c>
      <c r="C80" s="150">
        <f>NPV('Dane budynku 1'!q,'Wykres kosztów zakumulowanych'!C$42:C48)+'Wykres kosztów zakumulowanych'!C$41</f>
        <v>-38095.878566668864</v>
      </c>
      <c r="D80" s="150">
        <f>NPV('Dane budynku 1'!q,'Wykres kosztów zakumulowanych'!D$42:D48)+'Wykres kosztów zakumulowanych'!D$41</f>
        <v>-55391.861630192056</v>
      </c>
      <c r="E80" s="150">
        <f>NPV('Dane budynku 1'!q,'Wykres kosztów zakumulowanych'!E$42:E48)+'Wykres kosztów zakumulowanych'!E$41</f>
        <v>-49957.053291796787</v>
      </c>
      <c r="F80" s="150">
        <f>NPV('Dane budynku 1'!q,'Wykres kosztów zakumulowanych'!F$42:F48)+'Wykres kosztów zakumulowanych'!F$41</f>
        <v>-42664.564238288658</v>
      </c>
      <c r="G80" s="150">
        <f>NPV('Dane budynku 1'!q,'Wykres kosztów zakumulowanych'!G$42:G48)+'Wykres kosztów zakumulowanych'!G$41</f>
        <v>-36802.23881750046</v>
      </c>
      <c r="H80" s="150">
        <f>NPV('Dane budynku 1'!q,'Wykres kosztów zakumulowanych'!H$42:H48)+'Wykres kosztów zakumulowanych'!H$41</f>
        <v>-32255.651282224528</v>
      </c>
      <c r="I80" s="150">
        <f>NPV('Dane budynku 1'!q,'Wykres kosztów zakumulowanych'!I$42:I48)+'Wykres kosztów zakumulowanych'!I$41</f>
        <v>-43138.747070313242</v>
      </c>
      <c r="J80" s="150">
        <f>SUM(C80:I80)/7</f>
        <v>-42615.142128140658</v>
      </c>
      <c r="K80" s="134">
        <f t="shared" si="2"/>
        <v>0</v>
      </c>
      <c r="L80" s="134">
        <f t="shared" si="3"/>
        <v>0</v>
      </c>
      <c r="M80" s="134">
        <f t="shared" si="4"/>
        <v>0</v>
      </c>
      <c r="N80" s="134">
        <f t="shared" si="5"/>
        <v>0</v>
      </c>
      <c r="O80" s="134">
        <f t="shared" si="6"/>
        <v>0</v>
      </c>
      <c r="P80" s="134">
        <f t="shared" si="7"/>
        <v>0</v>
      </c>
      <c r="Q80" s="134">
        <f t="shared" si="8"/>
        <v>0</v>
      </c>
      <c r="R80" s="134"/>
      <c r="S80" s="134"/>
      <c r="T80" s="134"/>
      <c r="U80" s="251"/>
      <c r="V80" s="251"/>
    </row>
    <row r="81" spans="2:22" x14ac:dyDescent="0.4">
      <c r="B81" s="134">
        <v>8</v>
      </c>
      <c r="C81" s="150">
        <f>NPV('Dane budynku 1'!q,'Wykres kosztów zakumulowanych'!C$42:C49)+'Wykres kosztów zakumulowanych'!C$41</f>
        <v>-40495.306413449987</v>
      </c>
      <c r="D81" s="150">
        <f>NPV('Dane budynku 1'!q,'Wykres kosztów zakumulowanych'!D$42:D49)+'Wykres kosztów zakumulowanych'!D$41</f>
        <v>-57748.868457282479</v>
      </c>
      <c r="E81" s="150">
        <f>NPV('Dane budynku 1'!q,'Wykres kosztów zakumulowanych'!E$42:E49)+'Wykres kosztów zakumulowanych'!E$41</f>
        <v>-52099.900554295054</v>
      </c>
      <c r="F81" s="150">
        <f>NPV('Dane budynku 1'!q,'Wykres kosztów zakumulowanych'!F$42:F49)+'Wykres kosztów zakumulowanych'!F$41</f>
        <v>-47243.346235851379</v>
      </c>
      <c r="G81" s="150">
        <f>NPV('Dane budynku 1'!q,'Wykres kosztów zakumulowanych'!G$42:G49)+'Wykres kosztów zakumulowanych'!G$41</f>
        <v>-37641.552235721705</v>
      </c>
      <c r="H81" s="150">
        <f>NPV('Dane budynku 1'!q,'Wykres kosztów zakumulowanych'!H$42:H49)+'Wykres kosztów zakumulowanych'!H$41</f>
        <v>-34021.558269063833</v>
      </c>
      <c r="I81" s="150">
        <f>NPV('Dane budynku 1'!q,'Wykres kosztów zakumulowanych'!I$42:I49)+'Wykres kosztów zakumulowanych'!I$41</f>
        <v>-44665.085734990702</v>
      </c>
      <c r="J81" s="134"/>
      <c r="K81" s="134">
        <f t="shared" si="2"/>
        <v>0</v>
      </c>
      <c r="L81" s="134">
        <f t="shared" si="3"/>
        <v>0</v>
      </c>
      <c r="M81" s="134">
        <f t="shared" si="4"/>
        <v>0</v>
      </c>
      <c r="N81" s="134">
        <f t="shared" si="5"/>
        <v>0</v>
      </c>
      <c r="O81" s="134">
        <f t="shared" si="6"/>
        <v>0</v>
      </c>
      <c r="P81" s="134">
        <f t="shared" si="7"/>
        <v>0</v>
      </c>
      <c r="Q81" s="134">
        <f t="shared" si="8"/>
        <v>0</v>
      </c>
      <c r="R81" s="134"/>
      <c r="S81" s="134"/>
      <c r="T81" s="134"/>
      <c r="U81" s="251"/>
      <c r="V81" s="251"/>
    </row>
    <row r="82" spans="2:22" x14ac:dyDescent="0.4">
      <c r="B82" s="134">
        <v>9</v>
      </c>
      <c r="C82" s="150">
        <f>NPV('Dane budynku 1'!q,'Wykres kosztów zakumulowanych'!C$42:C50)+'Wykres kosztów zakumulowanych'!C$41</f>
        <v>-42880.702518437072</v>
      </c>
      <c r="D82" s="150">
        <f>NPV('Dane budynku 1'!q,'Wykres kosztów zakumulowanych'!D$42:D50)+'Wykres kosztów zakumulowanych'!D$41</f>
        <v>-60092.091618717408</v>
      </c>
      <c r="E82" s="150">
        <f>NPV('Dane budynku 1'!q,'Wykres kosztów zakumulowanych'!E$42:E50)+'Wykres kosztów zakumulowanych'!E$41</f>
        <v>-54230.216546252399</v>
      </c>
      <c r="F82" s="150">
        <f>NPV('Dane budynku 1'!q,'Wykres kosztów zakumulowanych'!F$42:F50)+'Wykres kosztów zakumulowanych'!F$41</f>
        <v>-51795.351730504379</v>
      </c>
      <c r="G82" s="150">
        <f>NPV('Dane budynku 1'!q,'Wykres kosztów zakumulowanych'!G$42:G50)+'Wykres kosztów zakumulowanych'!G$41</f>
        <v>-38475.957388339317</v>
      </c>
      <c r="H82" s="150">
        <f>NPV('Dane budynku 1'!q,'Wykres kosztów zakumulowanych'!H$42:H50)+'Wykres kosztów zakumulowanych'!H$41</f>
        <v>-35777.138314459633</v>
      </c>
      <c r="I82" s="150">
        <f>NPV('Dane budynku 1'!q,'Wykres kosztów zakumulowanych'!I$42:I50)+'Wykres kosztów zakumulowanych'!I$41</f>
        <v>-46182.498442564785</v>
      </c>
      <c r="J82" s="134"/>
      <c r="K82" s="134">
        <f t="shared" si="2"/>
        <v>0</v>
      </c>
      <c r="L82" s="134">
        <f t="shared" si="3"/>
        <v>0</v>
      </c>
      <c r="M82" s="134">
        <f t="shared" si="4"/>
        <v>0</v>
      </c>
      <c r="N82" s="134">
        <f t="shared" si="5"/>
        <v>0</v>
      </c>
      <c r="O82" s="134">
        <f t="shared" si="6"/>
        <v>0</v>
      </c>
      <c r="P82" s="134">
        <f t="shared" si="7"/>
        <v>0</v>
      </c>
      <c r="Q82" s="134">
        <f t="shared" si="8"/>
        <v>0</v>
      </c>
      <c r="R82" s="134"/>
      <c r="S82" s="134"/>
      <c r="T82" s="134"/>
      <c r="U82" s="251"/>
      <c r="V82" s="251"/>
    </row>
    <row r="83" spans="2:22" x14ac:dyDescent="0.4">
      <c r="B83" s="134">
        <v>10</v>
      </c>
      <c r="C83" s="150">
        <f>NPV('Dane budynku 1'!q,'Wykres kosztów zakumulowanych'!C$42:C51)+'Wykres kosztów zakumulowanych'!C$41</f>
        <v>-45252.148938599676</v>
      </c>
      <c r="D83" s="150">
        <f>NPV('Dane budynku 1'!q,'Wykres kosztów zakumulowanych'!D$42:D51)+'Wykres kosztów zakumulowanych'!D$41</f>
        <v>-62421.611720728746</v>
      </c>
      <c r="E83" s="150">
        <f>NPV('Dane budynku 1'!q,'Wykres kosztów zakumulowanych'!E$42:E51)+'Wykres kosztów zakumulowanych'!E$41</f>
        <v>-56348.074549952682</v>
      </c>
      <c r="F83" s="150">
        <f>NPV('Dane budynku 1'!q,'Wykres kosztów zakumulowanych'!F$42:F51)+'Wykres kosztów zakumulowanych'!F$41</f>
        <v>-56320.737309983968</v>
      </c>
      <c r="G83" s="150">
        <f>NPV('Dane budynku 1'!q,'Wykres kosztów zakumulowanych'!G$42:G51)+'Wykres kosztów zakumulowanych'!G$41</f>
        <v>-39305.482978660919</v>
      </c>
      <c r="H83" s="150">
        <f>NPV('Dane budynku 1'!q,'Wykres kosztów zakumulowanych'!H$42:H51)+'Wykres kosztów zakumulowanych'!H$41</f>
        <v>-37522.451809882361</v>
      </c>
      <c r="I83" s="150">
        <f>NPV('Dane budynku 1'!q,'Wykres kosztów zakumulowanych'!I$42:I51)+'Wykres kosztów zakumulowanych'!I$41</f>
        <v>-47691.037391615042</v>
      </c>
      <c r="J83" s="134"/>
      <c r="K83" s="134">
        <f t="shared" si="2"/>
        <v>0</v>
      </c>
      <c r="L83" s="134">
        <f t="shared" si="3"/>
        <v>0</v>
      </c>
      <c r="M83" s="134">
        <f t="shared" si="4"/>
        <v>0</v>
      </c>
      <c r="N83" s="134">
        <f t="shared" si="5"/>
        <v>0</v>
      </c>
      <c r="O83" s="134">
        <f t="shared" si="6"/>
        <v>0</v>
      </c>
      <c r="P83" s="134">
        <f t="shared" si="7"/>
        <v>0</v>
      </c>
      <c r="Q83" s="134">
        <f t="shared" si="8"/>
        <v>0</v>
      </c>
      <c r="R83" s="134"/>
      <c r="S83" s="134"/>
      <c r="T83" s="134"/>
      <c r="U83" s="251"/>
      <c r="V83" s="251"/>
    </row>
    <row r="84" spans="2:22" x14ac:dyDescent="0.4">
      <c r="B84" s="134">
        <v>11</v>
      </c>
      <c r="C84" s="150">
        <f>NPV('Dane budynku 1'!q,'Wykres kosztów zakumulowanych'!C$42:C52)+'Wykres kosztów zakumulowanych'!C$41</f>
        <v>-47609.72725104203</v>
      </c>
      <c r="D84" s="150">
        <f>NPV('Dane budynku 1'!q,'Wykres kosztów zakumulowanych'!D$42:D52)+'Wykres kosztów zakumulowanych'!D$41</f>
        <v>-64737.508898166911</v>
      </c>
      <c r="E84" s="150">
        <f>NPV('Dane budynku 1'!q,'Wykres kosztów zakumulowanych'!E$42:E52)+'Wykres kosztów zakumulowanych'!E$41</f>
        <v>-58453.547419128401</v>
      </c>
      <c r="F84" s="150">
        <f>NPV('Dane budynku 1'!q,'Wykres kosztów zakumulowanych'!F$42:F52)+'Wykres kosztów zakumulowanych'!F$41</f>
        <v>-60819.658646308701</v>
      </c>
      <c r="G84" s="150">
        <f>NPV('Dane budynku 1'!q,'Wykres kosztów zakumulowanych'!G$42:G52)+'Wykres kosztów zakumulowanych'!G$41</f>
        <v>-40130.157542138535</v>
      </c>
      <c r="H84" s="150">
        <f>NPV('Dane budynku 1'!q,'Wykres kosztów zakumulowanych'!H$42:H52)+'Wykres kosztów zakumulowanych'!H$41</f>
        <v>-39257.558793635952</v>
      </c>
      <c r="I84" s="150">
        <f>NPV('Dane budynku 1'!q,'Wykres kosztów zakumulowanych'!I$42:I52)+'Wykres kosztów zakumulowanych'!I$41</f>
        <v>-49190.754475466172</v>
      </c>
      <c r="J84" s="134"/>
      <c r="K84" s="134">
        <f t="shared" si="2"/>
        <v>0</v>
      </c>
      <c r="L84" s="134">
        <f t="shared" si="3"/>
        <v>0</v>
      </c>
      <c r="M84" s="134">
        <f t="shared" si="4"/>
        <v>0</v>
      </c>
      <c r="N84" s="134">
        <f t="shared" si="5"/>
        <v>0</v>
      </c>
      <c r="O84" s="134">
        <f t="shared" si="6"/>
        <v>0</v>
      </c>
      <c r="P84" s="134">
        <f t="shared" si="7"/>
        <v>0</v>
      </c>
      <c r="Q84" s="134">
        <f t="shared" si="8"/>
        <v>0</v>
      </c>
      <c r="R84" s="134"/>
      <c r="S84" s="134"/>
      <c r="T84" s="134"/>
      <c r="U84" s="251"/>
      <c r="V84" s="251"/>
    </row>
    <row r="85" spans="2:22" x14ac:dyDescent="0.4">
      <c r="B85" s="134">
        <v>12</v>
      </c>
      <c r="C85" s="150">
        <f>NPV('Dane budynku 1'!q,'Wykres kosztów zakumulowanych'!C$42:C53)+'Wykres kosztów zakumulowanych'!C$41</f>
        <v>-49953.518555809278</v>
      </c>
      <c r="D85" s="150">
        <f>NPV('Dane budynku 1'!q,'Wykres kosztów zakumulowanych'!D$42:D53)+'Wykres kosztów zakumulowanych'!D$41</f>
        <v>-67039.862817257483</v>
      </c>
      <c r="E85" s="150">
        <f>NPV('Dane budynku 1'!q,'Wykres kosztów zakumulowanych'!E$42:E53)+'Wykres kosztów zakumulowanych'!E$41</f>
        <v>-60546.707581466835</v>
      </c>
      <c r="F85" s="150">
        <f>NPV('Dane budynku 1'!q,'Wykres kosztów zakumulowanych'!F$42:F53)+'Wykres kosztów zakumulowanych'!F$41</f>
        <v>-65292.270501134466</v>
      </c>
      <c r="G85" s="150">
        <f>NPV('Dane budynku 1'!q,'Wykres kosztów zakumulowanych'!G$42:G53)+'Wykres kosztów zakumulowanych'!G$41</f>
        <v>-40950.009447350203</v>
      </c>
      <c r="H85" s="150">
        <f>NPV('Dane budynku 1'!q,'Wykres kosztów zakumulowanych'!H$42:H53)+'Wykres kosztów zakumulowanych'!H$41</f>
        <v>-40982.518952923143</v>
      </c>
      <c r="I85" s="150">
        <f>NPV('Dane budynku 1'!q,'Wykres kosztów zakumulowanych'!I$42:I53)+'Wykres kosztów zakumulowanych'!I$41</f>
        <v>-50681.701283973147</v>
      </c>
      <c r="J85" s="134"/>
      <c r="K85" s="134">
        <f t="shared" si="2"/>
        <v>0</v>
      </c>
      <c r="L85" s="134">
        <f t="shared" si="3"/>
        <v>0</v>
      </c>
      <c r="M85" s="134">
        <f t="shared" si="4"/>
        <v>0</v>
      </c>
      <c r="N85" s="134">
        <f t="shared" si="5"/>
        <v>0</v>
      </c>
      <c r="O85" s="134">
        <f t="shared" si="6"/>
        <v>1</v>
      </c>
      <c r="P85" s="134">
        <f t="shared" si="7"/>
        <v>0</v>
      </c>
      <c r="Q85" s="134">
        <f t="shared" si="8"/>
        <v>0</v>
      </c>
      <c r="R85" s="134"/>
      <c r="S85" s="134"/>
      <c r="T85" s="134"/>
      <c r="U85" s="251"/>
      <c r="V85" s="251"/>
    </row>
    <row r="86" spans="2:22" x14ac:dyDescent="0.4">
      <c r="B86" s="134">
        <v>13</v>
      </c>
      <c r="C86" s="150">
        <f>NPV('Dane budynku 1'!q,'Wykres kosztów zakumulowanych'!C$42:C54)+'Wykres kosztów zakumulowanych'!C$41</f>
        <v>-52283.603478677309</v>
      </c>
      <c r="D86" s="150">
        <f>NPV('Dane budynku 1'!q,'Wykres kosztów zakumulowanych'!D$42:D54)+'Wykres kosztów zakumulowanych'!D$41</f>
        <v>-69328.752678341683</v>
      </c>
      <c r="E86" s="150">
        <f>NPV('Dane budynku 1'!q,'Wykres kosztów zakumulowanych'!E$42:E54)+'Wykres kosztów zakumulowanych'!E$41</f>
        <v>-62627.627041101536</v>
      </c>
      <c r="F86" s="150">
        <f>NPV('Dane budynku 1'!q,'Wykres kosztów zakumulowanych'!F$42:F54)+'Wykres kosztów zakumulowanych'!F$41</f>
        <v>-69738.726731078204</v>
      </c>
      <c r="G86" s="150">
        <f>NPV('Dane budynku 1'!q,'Wykres kosztów zakumulowanych'!G$42:G54)+'Wykres kosztów zakumulowanych'!G$41</f>
        <v>-41765.066896975834</v>
      </c>
      <c r="H86" s="150">
        <f>NPV('Dane budynku 1'!q,'Wykres kosztów zakumulowanych'!H$42:H54)+'Wykres kosztów zakumulowanych'!H$41</f>
        <v>-42697.391625898716</v>
      </c>
      <c r="I86" s="150">
        <f>NPV('Dane budynku 1'!q,'Wykres kosztów zakumulowanych'!I$42:I54)+'Wykres kosztów zakumulowanych'!I$41</f>
        <v>-52163.929105295865</v>
      </c>
      <c r="J86" s="134"/>
      <c r="K86" s="134">
        <f t="shared" si="2"/>
        <v>0</v>
      </c>
      <c r="L86" s="134">
        <f t="shared" si="3"/>
        <v>0</v>
      </c>
      <c r="M86" s="134">
        <f t="shared" si="4"/>
        <v>0</v>
      </c>
      <c r="N86" s="134">
        <f t="shared" si="5"/>
        <v>0</v>
      </c>
      <c r="O86" s="134">
        <f t="shared" si="6"/>
        <v>1</v>
      </c>
      <c r="P86" s="134">
        <f t="shared" si="7"/>
        <v>0</v>
      </c>
      <c r="Q86" s="134">
        <f t="shared" si="8"/>
        <v>0</v>
      </c>
      <c r="R86" s="134"/>
      <c r="S86" s="134"/>
      <c r="T86" s="134"/>
      <c r="U86" s="251"/>
      <c r="V86" s="251"/>
    </row>
    <row r="87" spans="2:22" x14ac:dyDescent="0.4">
      <c r="B87" s="134">
        <v>14</v>
      </c>
      <c r="C87" s="150">
        <f>NPV('Dane budynku 1'!q,'Wykres kosztów zakumulowanych'!C$42:C55)+'Wykres kosztów zakumulowanych'!C$41</f>
        <v>-54600.062173926221</v>
      </c>
      <c r="D87" s="150">
        <f>NPV('Dane budynku 1'!q,'Wykres kosztów zakumulowanych'!D$42:D55)+'Wykres kosztów zakumulowanych'!D$41</f>
        <v>-71604.257218600833</v>
      </c>
      <c r="E87" s="150">
        <f>NPV('Dane budynku 1'!q,'Wykres kosztów zakumulowanych'!E$42:E55)+'Wykres kosztów zakumulowanych'!E$41</f>
        <v>-64696.377381089245</v>
      </c>
      <c r="F87" s="150">
        <f>NPV('Dane budynku 1'!q,'Wykres kosztów zakumulowanych'!F$42:F55)+'Wykres kosztów zakumulowanych'!F$41</f>
        <v>-74159.180293010577</v>
      </c>
      <c r="G87" s="150">
        <f>NPV('Dane budynku 1'!q,'Wykres kosztów zakumulowanych'!G$42:G55)+'Wykres kosztów zakumulowanych'!G$41</f>
        <v>-42575.3579287674</v>
      </c>
      <c r="H87" s="150">
        <f>NPV('Dane budynku 1'!q,'Wykres kosztów zakumulowanych'!H$42:H55)+'Wykres kosztów zakumulowanych'!H$41</f>
        <v>-44402.23580371069</v>
      </c>
      <c r="I87" s="150">
        <f>NPV('Dane budynku 1'!q,'Wykres kosztów zakumulowanych'!I$42:I55)+'Wykres kosztów zakumulowanych'!I$41</f>
        <v>-53637.488927663486</v>
      </c>
      <c r="J87" s="134"/>
      <c r="K87" s="134">
        <f t="shared" si="2"/>
        <v>0</v>
      </c>
      <c r="L87" s="134">
        <f t="shared" si="3"/>
        <v>0</v>
      </c>
      <c r="M87" s="134">
        <f t="shared" si="4"/>
        <v>0</v>
      </c>
      <c r="N87" s="134">
        <f t="shared" si="5"/>
        <v>0</v>
      </c>
      <c r="O87" s="134">
        <f t="shared" si="6"/>
        <v>1</v>
      </c>
      <c r="P87" s="134">
        <f t="shared" si="7"/>
        <v>0</v>
      </c>
      <c r="Q87" s="134">
        <f t="shared" si="8"/>
        <v>0</v>
      </c>
      <c r="R87" s="134"/>
      <c r="S87" s="134"/>
      <c r="T87" s="134"/>
      <c r="U87" s="251"/>
      <c r="V87" s="251"/>
    </row>
    <row r="88" spans="2:22" x14ac:dyDescent="0.4">
      <c r="B88" s="134">
        <v>15</v>
      </c>
      <c r="C88" s="150">
        <f>NPV('Dane budynku 1'!q,'Wykres kosztów zakumulowanych'!C$42:C56)+'Wykres kosztów zakumulowanych'!C$41</f>
        <v>-56902.974327097661</v>
      </c>
      <c r="D88" s="150">
        <f>NPV('Dane budynku 1'!q,'Wykres kosztów zakumulowanych'!D$42:D56)+'Wykres kosztów zakumulowanych'!D$41</f>
        <v>-73866.454714764899</v>
      </c>
      <c r="E88" s="150">
        <f>NPV('Dane budynku 1'!q,'Wykres kosztów zakumulowanych'!E$42:E56)+'Wykres kosztów zakumulowanych'!E$41</f>
        <v>-66753.029765872358</v>
      </c>
      <c r="F88" s="150">
        <f>NPV('Dane budynku 1'!q,'Wykres kosztów zakumulowanych'!F$42:F56)+'Wykres kosztów zakumulowanych'!F$41</f>
        <v>-78553.783249317625</v>
      </c>
      <c r="G88" s="150">
        <f>NPV('Dane budynku 1'!q,'Wykres kosztów zakumulowanych'!G$42:G56)+'Wykres kosztów zakumulowanych'!G$41</f>
        <v>-43380.910416513398</v>
      </c>
      <c r="H88" s="150">
        <f>NPV('Dane budynku 1'!q,'Wykres kosztów zakumulowanych'!H$42:H56)+'Wykres kosztów zakumulowanych'!H$41</f>
        <v>-46097.110132529619</v>
      </c>
      <c r="I88" s="150">
        <f>NPV('Dane budynku 1'!q,'Wykres kosztów zakumulowanych'!I$42:I56)+'Wykres kosztów zakumulowanych'!I$41</f>
        <v>-55102.43144112837</v>
      </c>
      <c r="J88" s="134"/>
      <c r="K88" s="134">
        <f t="shared" si="2"/>
        <v>0</v>
      </c>
      <c r="L88" s="134">
        <f t="shared" si="3"/>
        <v>0</v>
      </c>
      <c r="M88" s="134">
        <f t="shared" si="4"/>
        <v>0</v>
      </c>
      <c r="N88" s="134">
        <f t="shared" si="5"/>
        <v>0</v>
      </c>
      <c r="O88" s="134">
        <f t="shared" si="6"/>
        <v>1</v>
      </c>
      <c r="P88" s="134">
        <f t="shared" si="7"/>
        <v>0</v>
      </c>
      <c r="Q88" s="134">
        <f t="shared" si="8"/>
        <v>0</v>
      </c>
      <c r="R88" s="134"/>
      <c r="S88" s="134"/>
      <c r="T88" s="134"/>
      <c r="U88" s="251"/>
      <c r="V88" s="251"/>
    </row>
    <row r="89" spans="2:22" x14ac:dyDescent="0.4">
      <c r="B89" s="134">
        <v>16</v>
      </c>
      <c r="C89" s="150">
        <f>NPV('Dane budynku 1'!q,'Wykres kosztów zakumulowanych'!C$42:C57)+'Wykres kosztów zakumulowanych'!C$41</f>
        <v>-59192.419157735931</v>
      </c>
      <c r="D89" s="150">
        <f>NPV('Dane budynku 1'!q,'Wykres kosztów zakumulowanych'!D$42:D57)+'Wykres kosztów zakumulowanych'!D$41</f>
        <v>-76115.422985805184</v>
      </c>
      <c r="E89" s="150">
        <f>NPV('Dane budynku 1'!q,'Wykres kosztów zakumulowanych'!E$42:E57)+'Wykres kosztów zakumulowanych'!E$41</f>
        <v>-68797.654943726913</v>
      </c>
      <c r="F89" s="150">
        <f>NPV('Dane budynku 1'!q,'Wykres kosztów zakumulowanych'!F$42:F57)+'Wykres kosztów zakumulowanych'!F$41</f>
        <v>-82922.686773131631</v>
      </c>
      <c r="G89" s="150">
        <f>NPV('Dane budynku 1'!q,'Wykres kosztów zakumulowanych'!G$42:G57)+'Wykres kosztów zakumulowanych'!G$41</f>
        <v>-44181.752070997725</v>
      </c>
      <c r="H89" s="150">
        <f>NPV('Dane budynku 1'!q,'Wykres kosztów zakumulowanych'!H$42:H57)+'Wykres kosztów zakumulowanych'!H$41</f>
        <v>-47782.072915565965</v>
      </c>
      <c r="I89" s="150">
        <f>NPV('Dane budynku 1'!q,'Wykres kosztów zakumulowanych'!I$42:I57)+'Wykres kosztów zakumulowanych'!I$41</f>
        <v>-56558.807039309831</v>
      </c>
      <c r="J89" s="134"/>
      <c r="K89" s="134">
        <f t="shared" si="2"/>
        <v>0</v>
      </c>
      <c r="L89" s="134">
        <f t="shared" si="3"/>
        <v>0</v>
      </c>
      <c r="M89" s="134">
        <f t="shared" si="4"/>
        <v>0</v>
      </c>
      <c r="N89" s="134">
        <f t="shared" si="5"/>
        <v>0</v>
      </c>
      <c r="O89" s="134">
        <f t="shared" si="6"/>
        <v>1</v>
      </c>
      <c r="P89" s="134">
        <f t="shared" si="7"/>
        <v>0</v>
      </c>
      <c r="Q89" s="134">
        <f t="shared" si="8"/>
        <v>0</v>
      </c>
      <c r="R89" s="134"/>
      <c r="S89" s="134"/>
      <c r="T89" s="134"/>
      <c r="U89" s="251"/>
      <c r="V89" s="251"/>
    </row>
    <row r="90" spans="2:22" x14ac:dyDescent="0.4">
      <c r="B90" s="134">
        <v>17</v>
      </c>
      <c r="C90" s="150">
        <f>NPV('Dane budynku 1'!q,'Wykres kosztów zakumulowanych'!C$42:C58)+'Wykres kosztów zakumulowanych'!C$41</f>
        <v>-61468.475422113152</v>
      </c>
      <c r="D90" s="150">
        <f>NPV('Dane budynku 1'!q,'Wykres kosztów zakumulowanych'!D$42:D58)+'Wykres kosztów zakumulowanych'!D$41</f>
        <v>-78351.239395611337</v>
      </c>
      <c r="E90" s="150">
        <f>NPV('Dane budynku 1'!q,'Wykres kosztów zakumulowanych'!E$42:E58)+'Wykres kosztów zakumulowanych'!E$41</f>
        <v>-70830.323249196343</v>
      </c>
      <c r="F90" s="150">
        <f>NPV('Dane budynku 1'!q,'Wykres kosztów zakumulowanych'!F$42:F58)+'Wykres kosztów zakumulowanych'!F$41</f>
        <v>-87266.041153531522</v>
      </c>
      <c r="G90" s="150">
        <f>NPV('Dane budynku 1'!q,'Wykres kosztów zakumulowanych'!G$42:G58)+'Wykres kosztów zakumulowanych'!G$41</f>
        <v>-44977.910440952903</v>
      </c>
      <c r="H90" s="150">
        <f>NPV('Dane budynku 1'!q,'Wykres kosztów zakumulowanych'!H$42:H58)+'Wykres kosztów zakumulowanych'!H$41</f>
        <v>-49457.18211507579</v>
      </c>
      <c r="I90" s="150">
        <f>NPV('Dane budynku 1'!q,'Wykres kosztów zakumulowanych'!I$42:I58)+'Wykres kosztów zakumulowanych'!I$41</f>
        <v>-58006.665821127666</v>
      </c>
      <c r="J90" s="134"/>
      <c r="K90" s="134">
        <f t="shared" si="2"/>
        <v>0</v>
      </c>
      <c r="L90" s="134">
        <f t="shared" si="3"/>
        <v>0</v>
      </c>
      <c r="M90" s="134">
        <f t="shared" si="4"/>
        <v>0</v>
      </c>
      <c r="N90" s="134">
        <f t="shared" si="5"/>
        <v>0</v>
      </c>
      <c r="O90" s="134">
        <f t="shared" si="6"/>
        <v>1</v>
      </c>
      <c r="P90" s="134">
        <f t="shared" si="7"/>
        <v>0</v>
      </c>
      <c r="Q90" s="134">
        <f t="shared" si="8"/>
        <v>0</v>
      </c>
      <c r="R90" s="134"/>
      <c r="S90" s="134"/>
      <c r="T90" s="134"/>
      <c r="U90" s="251"/>
      <c r="V90" s="251"/>
    </row>
    <row r="91" spans="2:22" x14ac:dyDescent="0.4">
      <c r="B91" s="134">
        <v>18</v>
      </c>
      <c r="C91" s="150">
        <f>NPV('Dane budynku 1'!q,'Wykres kosztów zakumulowanych'!C$42:C59)+'Wykres kosztów zakumulowanych'!C$41</f>
        <v>-63731.221415938468</v>
      </c>
      <c r="D91" s="150">
        <f>NPV('Dane budynku 1'!q,'Wykres kosztów zakumulowanych'!D$42:D59)+'Wykres kosztów zakumulowanych'!D$41</f>
        <v>-80573.980855652524</v>
      </c>
      <c r="E91" s="150">
        <f>NPV('Dane budynku 1'!q,'Wykres kosztów zakumulowanych'!E$42:E59)+'Wykres kosztów zakumulowanych'!E$41</f>
        <v>-72851.104605511006</v>
      </c>
      <c r="F91" s="150">
        <f>NPV('Dane budynku 1'!q,'Wykres kosztów zakumulowanych'!F$42:F59)+'Wykres kosztów zakumulowanych'!F$41</f>
        <v>-91583.995800712713</v>
      </c>
      <c r="G91" s="150">
        <f>NPV('Dane budynku 1'!q,'Wykres kosztów zakumulowanych'!G$42:G59)+'Wykres kosztów zakumulowanych'!G$41</f>
        <v>-45769.412914007757</v>
      </c>
      <c r="H91" s="150">
        <f>NPV('Dane budynku 1'!q,'Wykres kosztów zakumulowanych'!H$42:H59)+'Wykres kosztów zakumulowanych'!H$41</f>
        <v>-51122.495354354563</v>
      </c>
      <c r="I91" s="150">
        <f>NPV('Dane budynku 1'!q,'Wykres kosztów zakumulowanych'!I$42:I59)+'Wykres kosztów zakumulowanych'!I$41</f>
        <v>-59446.057592525503</v>
      </c>
      <c r="J91" s="134"/>
      <c r="K91" s="134">
        <f t="shared" si="2"/>
        <v>0</v>
      </c>
      <c r="L91" s="134">
        <f t="shared" si="3"/>
        <v>0</v>
      </c>
      <c r="M91" s="134">
        <f t="shared" si="4"/>
        <v>0</v>
      </c>
      <c r="N91" s="134">
        <f t="shared" si="5"/>
        <v>0</v>
      </c>
      <c r="O91" s="134">
        <f t="shared" si="6"/>
        <v>1</v>
      </c>
      <c r="P91" s="134">
        <f t="shared" si="7"/>
        <v>0</v>
      </c>
      <c r="Q91" s="134">
        <f t="shared" si="8"/>
        <v>0</v>
      </c>
      <c r="R91" s="134"/>
      <c r="S91" s="134"/>
      <c r="T91" s="134"/>
      <c r="U91" s="251"/>
      <c r="V91" s="251"/>
    </row>
    <row r="92" spans="2:22" x14ac:dyDescent="0.4">
      <c r="B92" s="134">
        <v>19</v>
      </c>
      <c r="C92" s="150">
        <f>NPV('Dane budynku 1'!q,'Wykres kosztów zakumulowanych'!C$42:C60)+'Wykres kosztów zakumulowanych'!C$41</f>
        <v>-65980.734977051354</v>
      </c>
      <c r="D92" s="150">
        <f>NPV('Dane budynku 1'!q,'Wykres kosztów zakumulowanych'!D$42:D60)+'Wykres kosztów zakumulowanych'!D$41</f>
        <v>-82783.723827623297</v>
      </c>
      <c r="E92" s="150">
        <f>NPV('Dane budynku 1'!q,'Wykres kosztów zakumulowanych'!E$42:E60)+'Wykres kosztów zakumulowanych'!E$41</f>
        <v>-74860.068526993389</v>
      </c>
      <c r="F92" s="150">
        <f>NPV('Dane budynku 1'!q,'Wykres kosztów zakumulowanych'!F$42:F60)+'Wykres kosztów zakumulowanych'!F$41</f>
        <v>-95876.699251126745</v>
      </c>
      <c r="G92" s="150">
        <f>NPV('Dane budynku 1'!q,'Wykres kosztów zakumulowanych'!G$42:G60)+'Wykres kosztów zakumulowanych'!G$41</f>
        <v>-46556.286717629548</v>
      </c>
      <c r="H92" s="150">
        <f>NPV('Dane budynku 1'!q,'Wykres kosztów zakumulowanych'!H$42:H60)+'Wykres kosztów zakumulowanych'!H$41</f>
        <v>-52778.069919719426</v>
      </c>
      <c r="I92" s="150">
        <f>NPV('Dane budynku 1'!q,'Wykres kosztów zakumulowanych'!I$42:I60)+'Wykres kosztów zakumulowanych'!I$41</f>
        <v>-60877.031868184182</v>
      </c>
      <c r="J92" s="134"/>
      <c r="K92" s="134">
        <f t="shared" si="2"/>
        <v>0</v>
      </c>
      <c r="L92" s="134">
        <f t="shared" si="3"/>
        <v>0</v>
      </c>
      <c r="M92" s="134">
        <f t="shared" si="4"/>
        <v>0</v>
      </c>
      <c r="N92" s="134">
        <f t="shared" si="5"/>
        <v>0</v>
      </c>
      <c r="O92" s="134">
        <f t="shared" si="6"/>
        <v>1</v>
      </c>
      <c r="P92" s="134">
        <f t="shared" si="7"/>
        <v>0</v>
      </c>
      <c r="Q92" s="134">
        <f t="shared" si="8"/>
        <v>0</v>
      </c>
      <c r="R92" s="134"/>
      <c r="S92" s="134"/>
      <c r="T92" s="134"/>
      <c r="U92" s="251"/>
      <c r="V92" s="251"/>
    </row>
    <row r="93" spans="2:22" x14ac:dyDescent="0.4">
      <c r="B93" s="134">
        <v>20</v>
      </c>
      <c r="C93" s="150">
        <f>NPV('Dane budynku 1'!q,'Wykres kosztów zakumulowanych'!C$42:C61)+'Wykres kosztów zakumulowanych'!C$41</f>
        <v>-68217.093488099257</v>
      </c>
      <c r="D93" s="150">
        <f>NPV('Dane budynku 1'!q,'Wykres kosztów zakumulowanych'!D$42:D61)+'Wykres kosztów zakumulowanych'!D$41</f>
        <v>-84980.544326073781</v>
      </c>
      <c r="E93" s="150">
        <f>NPV('Dane budynku 1'!q,'Wykres kosztów zakumulowanych'!E$42:E61)+'Wykres kosztów zakumulowanych'!E$41</f>
        <v>-76857.284121449571</v>
      </c>
      <c r="F93" s="150">
        <f>NPV('Dane budynku 1'!q,'Wykres kosztów zakumulowanych'!F$42:F61)+'Wykres kosztów zakumulowanych'!F$41</f>
        <v>-100144.299172591</v>
      </c>
      <c r="G93" s="150">
        <f>NPV('Dane budynku 1'!q,'Wykres kosztów zakumulowanych'!G$42:G61)+'Wykres kosztów zakumulowanych'!G$41</f>
        <v>-47338.558920060561</v>
      </c>
      <c r="H93" s="150">
        <f>NPV('Dane budynku 1'!q,'Wykres kosztów zakumulowanych'!H$42:H61)+'Wykres kosztów zakumulowanych'!H$41</f>
        <v>-54423.962762479816</v>
      </c>
      <c r="I93" s="150">
        <f>NPV('Dane budynku 1'!q,'Wykres kosztów zakumulowanych'!I$42:I61)+'Wykres kosztów zakumulowanych'!I$41</f>
        <v>-62299.637873224972</v>
      </c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251"/>
      <c r="V93" s="251"/>
    </row>
    <row r="94" spans="2:22" x14ac:dyDescent="0.4">
      <c r="B94" s="134">
        <v>21</v>
      </c>
      <c r="C94" s="150">
        <f>NPV('Dane budynku 1'!q,'Wykres kosztów zakumulowanych'!C$42:C62)+'Wykres kosztów zakumulowanych'!C$41</f>
        <v>-70440.373879199498</v>
      </c>
      <c r="D94" s="150">
        <f>NPV('Dane budynku 1'!q,'Wykres kosztów zakumulowanych'!D$42:D62)+'Wykres kosztów zakumulowanych'!D$41</f>
        <v>-87164.517921024555</v>
      </c>
      <c r="E94" s="150">
        <f>NPV('Dane budynku 1'!q,'Wykres kosztów zakumulowanych'!E$42:E62)+'Wykres kosztów zakumulowanych'!E$41</f>
        <v>-78842.820092546375</v>
      </c>
      <c r="F94" s="150">
        <f>NPV('Dane budynku 1'!q,'Wykres kosztów zakumulowanych'!F$42:F62)+'Wykres kosztów zakumulowanych'!F$41</f>
        <v>-104386.94236936832</v>
      </c>
      <c r="G94" s="150">
        <f>NPV('Dane budynku 1'!q,'Wykres kosztów zakumulowanych'!G$42:G62)+'Wykres kosztów zakumulowanych'!G$41</f>
        <v>-48116.25643124929</v>
      </c>
      <c r="H94" s="150">
        <f>NPV('Dane budynku 1'!q,'Wykres kosztów zakumulowanych'!H$42:H62)+'Wykres kosztów zakumulowanych'!H$41</f>
        <v>-56060.230500896578</v>
      </c>
      <c r="I94" s="150">
        <f>NPV('Dane budynku 1'!q,'Wykres kosztów zakumulowanych'!I$42:I62)+'Wykres kosztów zakumulowanych'!I$41</f>
        <v>-63713.92454490294</v>
      </c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251"/>
      <c r="V94" s="251"/>
    </row>
    <row r="95" spans="2:22" x14ac:dyDescent="0.4">
      <c r="B95" s="134">
        <v>22</v>
      </c>
      <c r="C95" s="150">
        <f>NPV('Dane budynku 1'!q,'Wykres kosztów zakumulowanych'!C$42:C63)+'Wykres kosztów zakumulowanych'!C$41</f>
        <v>-72650.652630585711</v>
      </c>
      <c r="D95" s="150">
        <f>NPV('Dane budynku 1'!q,'Wykres kosztów zakumulowanych'!D$42:D63)+'Wykres kosztów zakumulowanych'!D$41</f>
        <v>-89335.719740566259</v>
      </c>
      <c r="E95" s="150">
        <f>NPV('Dane budynku 1'!q,'Wykres kosztów zakumulowanych'!E$42:E63)+'Wykres kosztów zakumulowanych'!E$41</f>
        <v>-80816.744742174749</v>
      </c>
      <c r="F95" s="150">
        <f>NPV('Dane budynku 1'!q,'Wykres kosztów zakumulowanych'!F$42:F63)+'Wykres kosztów zakumulowanych'!F$41</f>
        <v>-108604.77478721713</v>
      </c>
      <c r="G95" s="150">
        <f>NPV('Dane budynku 1'!q,'Wykres kosztów zakumulowanych'!G$42:G63)+'Wykres kosztów zakumulowanych'!G$41</f>
        <v>-48889.406003776094</v>
      </c>
      <c r="H95" s="150">
        <f>NPV('Dane budynku 1'!q,'Wykres kosztów zakumulowanych'!H$42:H63)+'Wykres kosztów zakumulowanych'!H$41</f>
        <v>-57686.929422129615</v>
      </c>
      <c r="I95" s="150">
        <f>NPV('Dane budynku 1'!q,'Wykres kosztów zakumulowanych'!I$42:I63)+'Wykres kosztów zakumulowanych'!I$41</f>
        <v>-65119.940534290407</v>
      </c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251"/>
      <c r="V95" s="251"/>
    </row>
    <row r="96" spans="2:22" x14ac:dyDescent="0.4">
      <c r="B96" s="134">
        <v>23</v>
      </c>
      <c r="C96" s="150">
        <f>NPV('Dane budynku 1'!q,'Wykres kosztów zakumulowanych'!C$42:C64)+'Wykres kosztów zakumulowanych'!C$41</f>
        <v>-74848.005775238678</v>
      </c>
      <c r="D96" s="150">
        <f>NPV('Dane budynku 1'!q,'Wykres kosztów zakumulowanych'!D$42:D64)+'Wykres kosztów zakumulowanych'!D$41</f>
        <v>-91494.224473443974</v>
      </c>
      <c r="E96" s="150">
        <f>NPV('Dane budynku 1'!q,'Wykres kosztów zakumulowanych'!E$42:E64)+'Wykres kosztów zakumulowanych'!E$41</f>
        <v>-82779.125972799462</v>
      </c>
      <c r="F96" s="150">
        <f>NPV('Dane budynku 1'!q,'Wykres kosztów zakumulowanych'!F$42:F64)+'Wykres kosztów zakumulowanych'!F$41</f>
        <v>-112797.94151841184</v>
      </c>
      <c r="G96" s="150">
        <f>NPV('Dane budynku 1'!q,'Wykres kosztów zakumulowanych'!G$42:G64)+'Wykres kosztów zakumulowanych'!G$41</f>
        <v>-49658.034233773506</v>
      </c>
      <c r="H96" s="150">
        <f>NPV('Dane budynku 1'!q,'Wykres kosztów zakumulowanych'!H$42:H64)+'Wykres kosztów zakumulowanych'!H$41</f>
        <v>-59304.115484174152</v>
      </c>
      <c r="I96" s="150">
        <f>NPV('Dane budynku 1'!q,'Wykres kosztów zakumulowanych'!I$42:I64)+'Wykres kosztów zakumulowanych'!I$41</f>
        <v>-66517.734207950445</v>
      </c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251"/>
      <c r="V96" s="251"/>
    </row>
    <row r="97" spans="2:22" x14ac:dyDescent="0.4">
      <c r="B97" s="134">
        <v>24</v>
      </c>
      <c r="C97" s="150">
        <f>NPV('Dane budynku 1'!q,'Wykres kosztów zakumulowanych'!C$42:C65)+'Wykres kosztów zakumulowanych'!C$41</f>
        <v>-77032.508901501846</v>
      </c>
      <c r="D97" s="150">
        <f>NPV('Dane budynku 1'!q,'Wykres kosztów zakumulowanych'!D$42:D65)+'Wykres kosztów zakumulowanych'!D$41</f>
        <v>-93640.106371626491</v>
      </c>
      <c r="E97" s="150">
        <f>NPV('Dane budynku 1'!q,'Wykres kosztów zakumulowanych'!E$42:E65)+'Wykres kosztów zakumulowanych'!E$41</f>
        <v>-84730.031289794802</v>
      </c>
      <c r="F97" s="150">
        <f>NPV('Dane budynku 1'!q,'Wykres kosztów zakumulowanych'!F$42:F65)+'Wykres kosztów zakumulowanych'!F$41</f>
        <v>-116966.58680673409</v>
      </c>
      <c r="G97" s="150">
        <f>NPV('Dane budynku 1'!q,'Wykres kosztów zakumulowanych'!G$42:G65)+'Wykres kosztów zakumulowanych'!G$41</f>
        <v>-50422.16756184111</v>
      </c>
      <c r="H97" s="150">
        <f>NPV('Dane budynku 1'!q,'Wykres kosztów zakumulowanych'!H$42:H65)+'Wykres kosztów zakumulowanych'!H$41</f>
        <v>-60911.84431778569</v>
      </c>
      <c r="I97" s="150">
        <f>NPV('Dane budynku 1'!q,'Wykres kosztów zakumulowanych'!I$42:I65)+'Wykres kosztów zakumulowanych'!I$41</f>
        <v>-67907.353649600787</v>
      </c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251"/>
      <c r="V97" s="251"/>
    </row>
    <row r="98" spans="2:22" x14ac:dyDescent="0.4">
      <c r="B98" s="134">
        <v>25</v>
      </c>
      <c r="C98" s="150">
        <f>NPV('Dane budynku 1'!q,'Wykres kosztów zakumulowanych'!C$42:C66)+'Wykres kosztów zakumulowanych'!C$41</f>
        <v>-79204.237155681622</v>
      </c>
      <c r="D98" s="150">
        <f>NPV('Dane budynku 1'!q,'Wykres kosztów zakumulowanych'!D$42:D66)+'Wykres kosztów zakumulowanych'!D$41</f>
        <v>-95773.439252860582</v>
      </c>
      <c r="E98" s="150">
        <f>NPV('Dane budynku 1'!q,'Wykres kosztów zakumulowanych'!E$42:E66)+'Wykres kosztów zakumulowanych'!E$41</f>
        <v>-86669.527803766759</v>
      </c>
      <c r="F98" s="150">
        <f>NPV('Dane budynku 1'!q,'Wykres kosztów zakumulowanych'!F$42:F66)+'Wykres kosztów zakumulowanych'!F$41</f>
        <v>-121110.85405243456</v>
      </c>
      <c r="G98" s="150">
        <f>NPV('Dane budynku 1'!q,'Wykres kosztów zakumulowanych'!G$42:G66)+'Wykres kosztów zakumulowanych'!G$41</f>
        <v>-51181.8322739551</v>
      </c>
      <c r="H98" s="150">
        <f>NPV('Dane budynku 1'!q,'Wykres kosztów zakumulowanych'!H$42:H66)+'Wykres kosztów zakumulowanych'!H$41</f>
        <v>-62510.171228393643</v>
      </c>
      <c r="I98" s="150">
        <f>NPV('Dane budynku 1'!q,'Wykres kosztów zakumulowanych'!I$42:I66)+'Wykres kosztów zakumulowanych'!I$41</f>
        <v>-69288.846661767806</v>
      </c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251"/>
      <c r="V98" s="251"/>
    </row>
    <row r="99" spans="2:22" x14ac:dyDescent="0.4">
      <c r="B99" s="134">
        <v>26</v>
      </c>
      <c r="C99" s="150">
        <f>NPV('Dane budynku 1'!q,'Wykres kosztów zakumulowanych'!C$42:C67)+'Wykres kosztów zakumulowanych'!C$41</f>
        <v>-81363.265244632261</v>
      </c>
      <c r="D99" s="150">
        <f>NPV('Dane budynku 1'!q,'Wykres kosztów zakumulowanych'!D$42:D67)+'Wykres kosztów zakumulowanych'!D$41</f>
        <v>-97894.296503210266</v>
      </c>
      <c r="E99" s="150">
        <f>NPV('Dane budynku 1'!q,'Wykres kosztów zakumulowanych'!E$42:E67)+'Wykres kosztów zakumulowanych'!E$41</f>
        <v>-88597.682232861698</v>
      </c>
      <c r="F99" s="150">
        <f>NPV('Dane budynku 1'!q,'Wykres kosztów zakumulowanych'!F$42:F67)+'Wykres kosztów zakumulowanych'!F$41</f>
        <v>-125230.88581716602</v>
      </c>
      <c r="G99" s="150">
        <f>NPV('Dane budynku 1'!q,'Wykres kosztów zakumulowanych'!G$42:G67)+'Wykres kosztów zakumulowanych'!G$41</f>
        <v>-51937.054502372514</v>
      </c>
      <c r="H99" s="150">
        <f>NPV('Dane budynku 1'!q,'Wykres kosztów zakumulowanych'!H$42:H67)+'Wykres kosztów zakumulowanych'!H$41</f>
        <v>-64099.151198003892</v>
      </c>
      <c r="I99" s="150">
        <f>NPV('Dane budynku 1'!q,'Wykres kosztów zakumulowanych'!I$42:I67)+'Wykres kosztów zakumulowanych'!I$41</f>
        <v>-70662.260767430897</v>
      </c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251"/>
      <c r="V99" s="251"/>
    </row>
    <row r="100" spans="2:22" x14ac:dyDescent="0.4">
      <c r="B100" s="134">
        <v>27</v>
      </c>
      <c r="C100" s="150">
        <f>NPV('Dane budynku 1'!q,'Wykres kosztów zakumulowanych'!C$42:C68)+'Wykres kosztów zakumulowanych'!C$41</f>
        <v>-83509.66743832588</v>
      </c>
      <c r="D100" s="150">
        <f>NPV('Dane budynku 1'!q,'Wykres kosztów zakumulowanych'!D$42:D68)+'Wykres kosztów zakumulowanych'!D$41</f>
        <v>-100002.75107958127</v>
      </c>
      <c r="E100" s="150">
        <f>NPV('Dane budynku 1'!q,'Wykres kosztów zakumulowanych'!E$42:E68)+'Wykres kosztów zakumulowanych'!E$41</f>
        <v>-90514.560905061342</v>
      </c>
      <c r="F100" s="150">
        <f>NPV('Dane budynku 1'!q,'Wykres kosztów zakumulowanych'!F$42:F68)+'Wykres kosztów zakumulowanych'!F$41</f>
        <v>-129326.82382888735</v>
      </c>
      <c r="G100" s="150">
        <f>NPV('Dane budynku 1'!q,'Wykres kosztów zakumulowanych'!G$42:G68)+'Wykres kosztów zakumulowanych'!G$41</f>
        <v>-52687.860226530182</v>
      </c>
      <c r="H100" s="150">
        <f>NPV('Dane budynku 1'!q,'Wykres kosztów zakumulowanych'!H$42:H68)+'Wykres kosztów zakumulowanych'!H$41</f>
        <v>-65678.838887090096</v>
      </c>
      <c r="I100" s="150">
        <f>NPV('Dane budynku 1'!q,'Wykres kosztów zakumulowanych'!I$42:I68)+'Wykres kosztów zakumulowanych'!I$41</f>
        <v>-72027.643211657385</v>
      </c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251"/>
      <c r="V100" s="251"/>
    </row>
    <row r="101" spans="2:22" x14ac:dyDescent="0.4">
      <c r="B101" s="134">
        <v>28</v>
      </c>
      <c r="C101" s="150">
        <f>NPV('Dane budynku 1'!q,'Wykres kosztów zakumulowanych'!C$42:C69)+'Wykres kosztów zakumulowanych'!C$41</f>
        <v>-85643.517572407261</v>
      </c>
      <c r="D101" s="150">
        <f>NPV('Dane budynku 1'!q,'Wykres kosztów zakumulowanych'!D$42:D69)+'Wykres kosztów zakumulowanych'!D$41</f>
        <v>-102098.87551223082</v>
      </c>
      <c r="E101" s="150">
        <f>NPV('Dane budynku 1'!q,'Wykres kosztów zakumulowanych'!E$42:E69)+'Wykres kosztów zakumulowanych'!E$41</f>
        <v>-92420.229760464485</v>
      </c>
      <c r="F101" s="150">
        <f>NPV('Dane budynku 1'!q,'Wykres kosztów zakumulowanych'!F$42:F69)+'Wykres kosztów zakumulowanych'!F$41</f>
        <v>-133398.80898673896</v>
      </c>
      <c r="G101" s="150">
        <f>NPV('Dane budynku 1'!q,'Wykres kosztów zakumulowanych'!G$42:G69)+'Wykres kosztów zakumulowanych'!G$41</f>
        <v>-53434.275273938387</v>
      </c>
      <c r="H101" s="150">
        <f>NPV('Dane budynku 1'!q,'Wykres kosztów zakumulowanych'!H$42:H69)+'Wykres kosztów zakumulowanych'!H$41</f>
        <v>-67249.288636474055</v>
      </c>
      <c r="I101" s="150">
        <f>NPV('Dane budynku 1'!q,'Wykres kosztów zakumulowanych'!I$42:I69)+'Wykres kosztów zakumulowanych'!I$41</f>
        <v>-73385.040963227555</v>
      </c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251"/>
      <c r="V101" s="251"/>
    </row>
    <row r="102" spans="2:22" x14ac:dyDescent="0.4">
      <c r="B102" s="134">
        <v>29</v>
      </c>
      <c r="C102" s="150">
        <f>NPV('Dane budynku 1'!q,'Wykres kosztów zakumulowanych'!C$42:C70)+'Wykres kosztów zakumulowanych'!C$41</f>
        <v>-87764.889050733778</v>
      </c>
      <c r="D102" s="150">
        <f>NPV('Dane budynku 1'!q,'Wykres kosztów zakumulowanych'!D$42:D70)+'Wykres kosztów zakumulowanych'!D$41</f>
        <v>-104182.74190726256</v>
      </c>
      <c r="E102" s="150">
        <f>NPV('Dane budynku 1'!q,'Wykres kosztów zakumulowanych'!E$42:E70)+'Wykres kosztów zakumulowanych'!E$41</f>
        <v>-94314.754353555356</v>
      </c>
      <c r="F102" s="150">
        <f>NPV('Dane budynku 1'!q,'Wykres kosztów zakumulowanych'!F$42:F70)+'Wykres kosztów zakumulowanych'!F$41</f>
        <v>-137446.98136588972</v>
      </c>
      <c r="G102" s="150">
        <f>NPV('Dane budynku 1'!q,'Wykres kosztów zakumulowanych'!G$42:G70)+'Wykres kosztów zakumulowanych'!G$41</f>
        <v>-54176.325321069351</v>
      </c>
      <c r="H102" s="150">
        <f>NPV('Dane budynku 1'!q,'Wykres kosztów zakumulowanych'!H$42:H70)+'Wykres kosztów zakumulowanych'!H$41</f>
        <v>-68810.554469194947</v>
      </c>
      <c r="I102" s="150">
        <f>NPV('Dane budynku 1'!q,'Wykres kosztów zakumulowanych'!I$42:I70)+'Wykres kosztów zakumulowanych'!I$41</f>
        <v>-74734.50071625055</v>
      </c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251"/>
      <c r="V102" s="251"/>
    </row>
    <row r="103" spans="2:22" x14ac:dyDescent="0.4">
      <c r="B103" s="134">
        <v>30</v>
      </c>
      <c r="C103" s="150">
        <f>NPV('Dane budynku 1'!q,'Wykres kosztów zakumulowanych'!C$42:C71)+'Wykres kosztów zakumulowanych'!C$41</f>
        <v>-89873.854847900497</v>
      </c>
      <c r="D103" s="150">
        <f>NPV('Dane budynku 1'!q,'Wykres kosztów zakumulowanych'!D$42:D71)+'Wykres kosztów zakumulowanych'!D$41</f>
        <v>-106254.42194910697</v>
      </c>
      <c r="E103" s="150">
        <f>NPV('Dane budynku 1'!q,'Wykres kosztów zakumulowanych'!E$42:E71)+'Wykres kosztów zakumulowanych'!E$41</f>
        <v>-96198.19985545853</v>
      </c>
      <c r="F103" s="150">
        <f>NPV('Dane budynku 1'!q,'Wykres kosztów zakumulowanych'!F$42:F71)+'Wykres kosztów zakumulowanych'!F$41</f>
        <v>-141471.48022235531</v>
      </c>
      <c r="G103" s="150">
        <f>NPV('Dane budynku 1'!q,'Wykres kosztów zakumulowanych'!G$42:G71)+'Wykres kosztów zakumulowanych'!G$41</f>
        <v>-54914.035894240486</v>
      </c>
      <c r="H103" s="150">
        <f>NPV('Dane budynku 1'!q,'Wykres kosztów zakumulowanych'!H$42:H71)+'Wykres kosztów zakumulowanych'!H$41</f>
        <v>-70362.69009236776</v>
      </c>
      <c r="I103" s="150">
        <f>NPV('Dane budynku 1'!q,'Wykres kosztów zakumulowanych'!I$42:I71)+'Wykres kosztów zakumulowanych'!I$41</f>
        <v>-76076.068891770468</v>
      </c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251"/>
      <c r="V103" s="251"/>
    </row>
    <row r="104" spans="2:22" x14ac:dyDescent="0.4">
      <c r="B104" s="132"/>
      <c r="C104" s="134"/>
      <c r="D104" s="134"/>
      <c r="E104" s="134"/>
      <c r="F104" s="134"/>
      <c r="G104" s="134"/>
      <c r="H104" s="134"/>
      <c r="I104" s="134"/>
      <c r="J104" s="134"/>
      <c r="K104" s="134" t="str">
        <f>C39</f>
        <v>Wariant A, KG-spr. 87%</v>
      </c>
      <c r="L104" s="134" t="str">
        <f>D39</f>
        <v>Wariant B, Gaz PC-wsp. ef. 124%</v>
      </c>
      <c r="M104" s="134" t="str">
        <f>E39</f>
        <v>Wariant C, Pelet-spr. 83%</v>
      </c>
      <c r="N104" s="134" t="str">
        <f>F39</f>
        <v>Wariant D, KE-spr. 94%</v>
      </c>
      <c r="O104" s="134" t="str">
        <f>G39</f>
        <v>Wariant E, PV+ PC P/W, SPF=3,45</v>
      </c>
      <c r="P104" s="134" t="str">
        <f>I39</f>
        <v>Wariant G, PC S/W, SPF=3,75</v>
      </c>
      <c r="Q104" s="134"/>
      <c r="R104" s="134"/>
      <c r="S104" s="134"/>
      <c r="T104" s="134"/>
      <c r="U104" s="251"/>
      <c r="V104" s="251"/>
    </row>
    <row r="105" spans="2:22" x14ac:dyDescent="0.4">
      <c r="B105" s="132"/>
      <c r="C105" s="134"/>
      <c r="D105" s="134"/>
      <c r="E105" s="134"/>
      <c r="F105" s="134"/>
      <c r="G105" s="134"/>
      <c r="H105" s="134"/>
      <c r="I105" s="134"/>
      <c r="J105" s="134"/>
      <c r="K105" s="131">
        <f>IF(K73&lt;K92,0,K106)</f>
        <v>0</v>
      </c>
      <c r="L105" s="131">
        <f t="shared" ref="L105:Q105" si="9">IF(L73&lt;L92,0,L106)</f>
        <v>0</v>
      </c>
      <c r="M105" s="131">
        <f t="shared" si="9"/>
        <v>0</v>
      </c>
      <c r="N105" s="131">
        <f t="shared" si="9"/>
        <v>4</v>
      </c>
      <c r="O105" s="131">
        <f t="shared" si="9"/>
        <v>0</v>
      </c>
      <c r="P105" s="131">
        <f t="shared" si="9"/>
        <v>0</v>
      </c>
      <c r="Q105" s="131">
        <f t="shared" si="9"/>
        <v>0</v>
      </c>
      <c r="R105" s="134"/>
      <c r="S105" s="134"/>
      <c r="T105" s="134"/>
      <c r="U105" s="251"/>
      <c r="V105" s="251"/>
    </row>
    <row r="106" spans="2:22" x14ac:dyDescent="0.4">
      <c r="B106" s="132"/>
      <c r="C106" s="134"/>
      <c r="D106" s="134"/>
      <c r="E106" s="134"/>
      <c r="F106" s="134"/>
      <c r="G106" s="134"/>
      <c r="H106" s="134"/>
      <c r="I106" s="134"/>
      <c r="J106" s="134"/>
      <c r="K106" s="134">
        <f t="shared" ref="K106:Q106" si="10">IF(SUM(K73:K104)&lt;20,SUM(K73:K104),30)</f>
        <v>0</v>
      </c>
      <c r="L106" s="134">
        <f t="shared" si="10"/>
        <v>0</v>
      </c>
      <c r="M106" s="134">
        <f t="shared" si="10"/>
        <v>0</v>
      </c>
      <c r="N106" s="134">
        <f t="shared" si="10"/>
        <v>4</v>
      </c>
      <c r="O106" s="134">
        <f t="shared" si="10"/>
        <v>8</v>
      </c>
      <c r="P106" s="134">
        <f t="shared" si="10"/>
        <v>0</v>
      </c>
      <c r="Q106" s="134">
        <f t="shared" si="10"/>
        <v>0</v>
      </c>
      <c r="R106" s="134"/>
      <c r="S106" s="134"/>
      <c r="T106" s="134"/>
      <c r="U106" s="251"/>
      <c r="V106" s="251"/>
    </row>
    <row r="107" spans="2:22" x14ac:dyDescent="0.4">
      <c r="C107" s="134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251"/>
      <c r="V107" s="251"/>
    </row>
    <row r="108" spans="2:22" x14ac:dyDescent="0.4">
      <c r="C108" s="134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251"/>
      <c r="V108" s="251"/>
    </row>
    <row r="109" spans="2:22" x14ac:dyDescent="0.4">
      <c r="C109" s="134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251"/>
      <c r="V109" s="251"/>
    </row>
    <row r="110" spans="2:22" x14ac:dyDescent="0.4">
      <c r="C110" s="134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251"/>
      <c r="V110" s="251"/>
    </row>
    <row r="111" spans="2:22" x14ac:dyDescent="0.4"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251"/>
      <c r="V111" s="251"/>
    </row>
    <row r="112" spans="2:22" x14ac:dyDescent="0.4">
      <c r="C112" s="134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251"/>
      <c r="V112" s="251"/>
    </row>
    <row r="113" spans="3:22" x14ac:dyDescent="0.4">
      <c r="C113" s="134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251"/>
      <c r="V113" s="251"/>
    </row>
    <row r="114" spans="3:22" x14ac:dyDescent="0.4">
      <c r="C114" s="134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251"/>
      <c r="V114" s="251"/>
    </row>
    <row r="115" spans="3:22" x14ac:dyDescent="0.4">
      <c r="C115" s="134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251"/>
      <c r="V115" s="251"/>
    </row>
    <row r="116" spans="3:22" x14ac:dyDescent="0.4">
      <c r="C116" s="134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251"/>
      <c r="V116" s="251"/>
    </row>
    <row r="117" spans="3:22" x14ac:dyDescent="0.4">
      <c r="C117" s="134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251"/>
      <c r="V117" s="251"/>
    </row>
    <row r="118" spans="3:22" x14ac:dyDescent="0.4">
      <c r="C118" s="134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251"/>
      <c r="V118" s="251"/>
    </row>
    <row r="119" spans="3:22" x14ac:dyDescent="0.4">
      <c r="C119" s="134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251"/>
      <c r="V119" s="251"/>
    </row>
    <row r="120" spans="3:22" x14ac:dyDescent="0.4">
      <c r="C120" s="134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251"/>
      <c r="V120" s="251"/>
    </row>
    <row r="121" spans="3:22" x14ac:dyDescent="0.4">
      <c r="C121" s="134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251"/>
      <c r="V121" s="251"/>
    </row>
    <row r="122" spans="3:22" x14ac:dyDescent="0.4">
      <c r="C122" s="134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251"/>
      <c r="V122" s="251"/>
    </row>
    <row r="123" spans="3:22" x14ac:dyDescent="0.4">
      <c r="C123" s="134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251"/>
      <c r="V123" s="251"/>
    </row>
  </sheetData>
  <mergeCells count="1">
    <mergeCell ref="B34:T35"/>
  </mergeCells>
  <hyperlinks>
    <hyperlink ref="B33" r:id="rId1" xr:uid="{00000000-0004-0000-0C00-000000000000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57569" r:id="rId5" name="Button 1">
              <controlPr defaultSize="0" print="0" autoFill="0" autoPict="0" macro="[0]!Wyniki">
                <anchor moveWithCells="1" sizeWithCells="1">
                  <from>
                    <xdr:col>0</xdr:col>
                    <xdr:colOff>285750</xdr:colOff>
                    <xdr:row>2</xdr:row>
                    <xdr:rowOff>38100</xdr:rowOff>
                  </from>
                  <to>
                    <xdr:col>2</xdr:col>
                    <xdr:colOff>232410</xdr:colOff>
                    <xdr:row>3</xdr:row>
                    <xdr:rowOff>80010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570" r:id="rId6" name="Button 2">
              <controlPr defaultSize="0" print="0" autoFill="0" autoPict="0" macro="[0]!Start2">
                <anchor moveWithCells="1" sizeWithCells="1">
                  <from>
                    <xdr:col>0</xdr:col>
                    <xdr:colOff>281940</xdr:colOff>
                    <xdr:row>3</xdr:row>
                    <xdr:rowOff>140970</xdr:rowOff>
                  </from>
                  <to>
                    <xdr:col>2</xdr:col>
                    <xdr:colOff>236220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571" r:id="rId7" name="Button 3">
              <controlPr defaultSize="0" print="0" autoFill="0" autoPict="0" macro="[0]!Kosztyeksploatacji_Przycisk100_Kliknięcie">
                <anchor moveWithCells="1" sizeWithCells="1">
                  <from>
                    <xdr:col>0</xdr:col>
                    <xdr:colOff>304800</xdr:colOff>
                    <xdr:row>5</xdr:row>
                    <xdr:rowOff>64770</xdr:rowOff>
                  </from>
                  <to>
                    <xdr:col>2</xdr:col>
                    <xdr:colOff>243840</xdr:colOff>
                    <xdr:row>6</xdr:row>
                    <xdr:rowOff>140970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5"/>
  <dimension ref="A1:T29"/>
  <sheetViews>
    <sheetView showGridLines="0" showRowColHeaders="0" showZeros="0" workbookViewId="0"/>
  </sheetViews>
  <sheetFormatPr defaultRowHeight="12.3" x14ac:dyDescent="0.4"/>
  <cols>
    <col min="1" max="7" width="8.88671875" style="255"/>
    <col min="8" max="8" width="9.21875" style="255" bestFit="1" customWidth="1"/>
    <col min="9" max="16384" width="8.88671875" style="255"/>
  </cols>
  <sheetData>
    <row r="1" spans="1:19" ht="17.100000000000001" thickBot="1" x14ac:dyDescent="0.7">
      <c r="A1" s="225" t="s">
        <v>172</v>
      </c>
      <c r="B1" s="224"/>
      <c r="C1" s="224"/>
      <c r="D1" s="224"/>
      <c r="E1" s="224"/>
      <c r="F1" s="224"/>
      <c r="G1" s="224"/>
    </row>
    <row r="2" spans="1:19" ht="12.6" thickTop="1" x14ac:dyDescent="0.4"/>
    <row r="3" spans="1:19" x14ac:dyDescent="0.4"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</row>
    <row r="4" spans="1:19" x14ac:dyDescent="0.4"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</row>
    <row r="5" spans="1:19" x14ac:dyDescent="0.4">
      <c r="D5" s="260"/>
      <c r="E5" s="260"/>
      <c r="F5" s="260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0"/>
    </row>
    <row r="6" spans="1:19" x14ac:dyDescent="0.4"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</row>
    <row r="7" spans="1:19" x14ac:dyDescent="0.4">
      <c r="D7" s="260"/>
      <c r="E7" s="260"/>
      <c r="F7" s="260"/>
      <c r="G7" s="260"/>
      <c r="H7" s="260" t="s">
        <v>207</v>
      </c>
      <c r="I7" s="260" t="s">
        <v>208</v>
      </c>
      <c r="J7" s="260" t="s">
        <v>209</v>
      </c>
      <c r="K7" s="260"/>
      <c r="L7" s="260"/>
      <c r="M7" s="260"/>
      <c r="N7" s="260"/>
      <c r="O7" s="260"/>
      <c r="P7" s="260"/>
      <c r="Q7" s="260"/>
      <c r="R7" s="260"/>
      <c r="S7" s="260"/>
    </row>
    <row r="8" spans="1:19" x14ac:dyDescent="0.4">
      <c r="D8" s="260"/>
      <c r="E8" s="260"/>
      <c r="F8" s="261">
        <f>'Dane budynku 1'!C17</f>
        <v>5200</v>
      </c>
      <c r="G8" s="260" t="s">
        <v>204</v>
      </c>
      <c r="H8" s="261">
        <f>F8/'Dane sprawność 2'!$J$15</f>
        <v>2888.8888888888887</v>
      </c>
      <c r="I8" s="261">
        <f>F8/'Dane sprawność 2'!$K$15</f>
        <v>2476.1904761904761</v>
      </c>
      <c r="J8" s="261">
        <f>F8/'Dane sprawność 2'!F15</f>
        <v>4000</v>
      </c>
      <c r="K8" s="260"/>
      <c r="L8" s="260"/>
      <c r="M8" s="260"/>
      <c r="N8" s="260"/>
      <c r="O8" s="260"/>
      <c r="P8" s="260"/>
      <c r="Q8" s="260"/>
      <c r="R8" s="260"/>
      <c r="S8" s="260"/>
    </row>
    <row r="9" spans="1:19" x14ac:dyDescent="0.4">
      <c r="D9" s="260"/>
      <c r="E9" s="260"/>
      <c r="F9" s="261">
        <f>'Dane budynku 1'!C18</f>
        <v>3832.5</v>
      </c>
      <c r="G9" s="260" t="s">
        <v>205</v>
      </c>
      <c r="H9" s="261">
        <f>F9/'Dane sprawność 2'!$J$15</f>
        <v>2129.1666666666665</v>
      </c>
      <c r="I9" s="261">
        <f>F9/'Dane sprawność 2'!$K$15</f>
        <v>1825</v>
      </c>
      <c r="J9" s="261">
        <f>F9/'Dane sprawność 2'!F16</f>
        <v>3332.608695652174</v>
      </c>
      <c r="K9" s="260"/>
      <c r="L9" s="260"/>
      <c r="M9" s="260"/>
      <c r="N9" s="260"/>
      <c r="O9" s="260"/>
      <c r="P9" s="260"/>
      <c r="Q9" s="260"/>
      <c r="R9" s="260"/>
      <c r="S9" s="260"/>
    </row>
    <row r="10" spans="1:19" x14ac:dyDescent="0.4">
      <c r="D10" s="260"/>
      <c r="E10" s="260"/>
      <c r="F10" s="261">
        <f>'Dane budynku 1'!C20</f>
        <v>1500</v>
      </c>
      <c r="G10" s="260" t="s">
        <v>206</v>
      </c>
      <c r="H10" s="261">
        <f>F10/'Dane sprawność 2'!J17</f>
        <v>428.57142857142856</v>
      </c>
      <c r="I10" s="261">
        <f>F10/'Dane sprawność 2'!K17</f>
        <v>100</v>
      </c>
      <c r="J10" s="261">
        <f>'Dane budynku 1'!C20/'Dane sprawność 2'!F17</f>
        <v>2142.8571428571431</v>
      </c>
      <c r="K10" s="260"/>
      <c r="L10" s="260"/>
      <c r="M10" s="260"/>
      <c r="N10" s="260"/>
      <c r="O10" s="260"/>
      <c r="P10" s="260"/>
      <c r="Q10" s="260"/>
      <c r="R10" s="260"/>
      <c r="S10" s="260"/>
    </row>
    <row r="11" spans="1:19" x14ac:dyDescent="0.4">
      <c r="D11" s="260"/>
      <c r="E11" s="260"/>
      <c r="F11" s="260"/>
      <c r="G11" s="260"/>
      <c r="H11" s="261">
        <f>SUM(H8:H10)</f>
        <v>5446.6269841269832</v>
      </c>
      <c r="I11" s="261">
        <f>SUM(I8:I10)</f>
        <v>4401.1904761904761</v>
      </c>
      <c r="J11" s="261">
        <f>SUM(J8:J10)</f>
        <v>9475.4658385093171</v>
      </c>
      <c r="K11" s="260"/>
      <c r="L11" s="260"/>
      <c r="M11" s="260"/>
      <c r="N11" s="260"/>
      <c r="O11" s="260"/>
      <c r="P11" s="260"/>
      <c r="Q11" s="260"/>
      <c r="R11" s="260"/>
      <c r="S11" s="260"/>
    </row>
    <row r="12" spans="1:19" x14ac:dyDescent="0.4">
      <c r="D12" s="260"/>
      <c r="E12" s="260"/>
      <c r="F12" s="260"/>
      <c r="G12" s="260"/>
      <c r="H12" s="260"/>
      <c r="I12" s="260"/>
      <c r="J12" s="260"/>
      <c r="K12" s="260"/>
      <c r="L12" s="260"/>
      <c r="M12" s="260"/>
      <c r="N12" s="260"/>
      <c r="O12" s="260"/>
      <c r="P12" s="260"/>
      <c r="Q12" s="260"/>
      <c r="R12" s="260"/>
      <c r="S12" s="260"/>
    </row>
    <row r="13" spans="1:19" x14ac:dyDescent="0.4">
      <c r="D13" s="260"/>
      <c r="E13" s="260"/>
      <c r="F13" s="260"/>
      <c r="G13" s="260"/>
      <c r="H13" s="260"/>
      <c r="I13" s="260"/>
      <c r="J13" s="260"/>
      <c r="K13" s="260"/>
      <c r="L13" s="260"/>
      <c r="M13" s="260"/>
      <c r="N13" s="260"/>
      <c r="O13" s="260"/>
      <c r="P13" s="260"/>
      <c r="Q13" s="260"/>
      <c r="R13" s="260"/>
      <c r="S13" s="260"/>
    </row>
    <row r="14" spans="1:19" x14ac:dyDescent="0.4">
      <c r="D14" s="260"/>
      <c r="E14" s="260"/>
      <c r="F14" s="260"/>
      <c r="G14" s="260"/>
      <c r="H14" s="260" t="s">
        <v>202</v>
      </c>
      <c r="I14" s="260" t="s">
        <v>203</v>
      </c>
      <c r="J14" s="260" t="str">
        <f>J7</f>
        <v>Wariant B GPC P/W</v>
      </c>
      <c r="K14" s="260"/>
      <c r="L14" s="260"/>
      <c r="M14" s="260"/>
      <c r="N14" s="260"/>
      <c r="O14" s="260"/>
      <c r="P14" s="260"/>
      <c r="Q14" s="260"/>
      <c r="R14" s="260"/>
      <c r="S14" s="260"/>
    </row>
    <row r="15" spans="1:19" x14ac:dyDescent="0.4">
      <c r="D15" s="260"/>
      <c r="E15" s="260"/>
      <c r="F15" s="261">
        <v>1683.5</v>
      </c>
      <c r="G15" s="260" t="str">
        <f>G8</f>
        <v>Centralne ogrzewanie</v>
      </c>
      <c r="H15" s="261">
        <v>1052.1875</v>
      </c>
      <c r="I15" s="261">
        <v>765.22727272727263</v>
      </c>
      <c r="J15" s="261">
        <f>J8*'Dane eksploatacja 4'!$G$17</f>
        <v>760</v>
      </c>
      <c r="K15" s="260"/>
      <c r="L15" s="260"/>
      <c r="M15" s="260"/>
      <c r="N15" s="260"/>
      <c r="O15" s="260"/>
      <c r="P15" s="260"/>
      <c r="Q15" s="260"/>
      <c r="R15" s="260"/>
      <c r="S15" s="260"/>
    </row>
    <row r="16" spans="1:19" x14ac:dyDescent="0.4">
      <c r="D16" s="260"/>
      <c r="E16" s="260"/>
      <c r="F16" s="261">
        <v>1341.375</v>
      </c>
      <c r="G16" s="260" t="str">
        <f>G9</f>
        <v>Ciepła woda użytkowa</v>
      </c>
      <c r="H16" s="261">
        <v>838.359375</v>
      </c>
      <c r="I16" s="261">
        <v>609.71590909090901</v>
      </c>
      <c r="J16" s="261">
        <f>J9*'Dane eksploatacja 4'!$G$17</f>
        <v>633.19565217391312</v>
      </c>
      <c r="K16" s="260"/>
      <c r="L16" s="260"/>
      <c r="M16" s="260"/>
      <c r="N16" s="260"/>
      <c r="O16" s="260"/>
      <c r="P16" s="260"/>
      <c r="Q16" s="260"/>
      <c r="R16" s="260"/>
      <c r="S16" s="260"/>
    </row>
    <row r="17" spans="2:20" x14ac:dyDescent="0.4">
      <c r="D17" s="260"/>
      <c r="E17" s="260"/>
      <c r="F17" s="261">
        <f>'Dane budynku 1'!C20</f>
        <v>1500</v>
      </c>
      <c r="G17" s="260" t="str">
        <f>G10</f>
        <v>Chłodzenie</v>
      </c>
      <c r="H17" s="261">
        <v>170</v>
      </c>
      <c r="I17" s="261">
        <v>39.666666666666664</v>
      </c>
      <c r="J17" s="261">
        <f>J10*'Dane eksploatacja 4'!$G$17</f>
        <v>407.14285714285722</v>
      </c>
      <c r="K17" s="260"/>
      <c r="L17" s="260"/>
      <c r="M17" s="260"/>
      <c r="N17" s="260"/>
      <c r="O17" s="260"/>
      <c r="P17" s="260"/>
      <c r="Q17" s="260"/>
      <c r="R17" s="260"/>
      <c r="S17" s="260"/>
    </row>
    <row r="18" spans="2:20" x14ac:dyDescent="0.4">
      <c r="D18" s="260"/>
      <c r="E18" s="260"/>
      <c r="F18" s="260"/>
      <c r="G18" s="260"/>
      <c r="H18" s="260"/>
      <c r="I18" s="260"/>
      <c r="J18" s="260"/>
      <c r="K18" s="260"/>
      <c r="L18" s="260"/>
      <c r="M18" s="260"/>
      <c r="N18" s="260"/>
      <c r="O18" s="260"/>
      <c r="P18" s="260"/>
      <c r="Q18" s="260"/>
      <c r="R18" s="260"/>
      <c r="S18" s="260"/>
    </row>
    <row r="19" spans="2:20" x14ac:dyDescent="0.4">
      <c r="D19" s="260"/>
      <c r="E19" s="260"/>
      <c r="F19" s="260"/>
      <c r="G19" s="260"/>
      <c r="H19" s="260" t="s">
        <v>202</v>
      </c>
      <c r="I19" s="260" t="s">
        <v>203</v>
      </c>
      <c r="J19" s="260">
        <f>J12</f>
        <v>0</v>
      </c>
      <c r="K19" s="260"/>
      <c r="L19" s="260"/>
      <c r="M19" s="260"/>
      <c r="N19" s="260"/>
      <c r="O19" s="260"/>
      <c r="P19" s="260"/>
      <c r="Q19" s="260"/>
      <c r="R19" s="260"/>
      <c r="S19" s="260"/>
    </row>
    <row r="20" spans="2:20" x14ac:dyDescent="0.4">
      <c r="D20" s="260"/>
      <c r="E20" s="260"/>
      <c r="F20" s="260"/>
      <c r="G20" s="260" t="str">
        <f>G8</f>
        <v>Centralne ogrzewanie</v>
      </c>
      <c r="H20" s="263">
        <f t="shared" ref="H20:J22" si="0">H8/H$11</f>
        <v>0.53039962114312778</v>
      </c>
      <c r="I20" s="263">
        <f t="shared" si="0"/>
        <v>0.562618339193941</v>
      </c>
      <c r="J20" s="263">
        <f t="shared" si="0"/>
        <v>0.4221428337320966</v>
      </c>
      <c r="K20" s="260"/>
      <c r="L20" s="260"/>
      <c r="M20" s="260"/>
      <c r="N20" s="260"/>
      <c r="O20" s="260"/>
      <c r="P20" s="260"/>
      <c r="Q20" s="260"/>
      <c r="R20" s="260"/>
      <c r="S20" s="260"/>
    </row>
    <row r="21" spans="2:20" x14ac:dyDescent="0.4">
      <c r="D21" s="260"/>
      <c r="E21" s="260"/>
      <c r="F21" s="260"/>
      <c r="G21" s="260" t="str">
        <f>G9</f>
        <v>Ciepła woda użytkowa</v>
      </c>
      <c r="H21" s="263">
        <f t="shared" si="0"/>
        <v>0.39091472077519951</v>
      </c>
      <c r="I21" s="263">
        <f t="shared" si="0"/>
        <v>0.41466053556938059</v>
      </c>
      <c r="J21" s="263">
        <f t="shared" si="0"/>
        <v>0.35170921962570878</v>
      </c>
      <c r="K21" s="260"/>
      <c r="L21" s="260"/>
      <c r="M21" s="260"/>
      <c r="N21" s="260"/>
      <c r="O21" s="260"/>
      <c r="P21" s="260"/>
      <c r="Q21" s="260"/>
      <c r="R21" s="260"/>
      <c r="S21" s="260"/>
    </row>
    <row r="22" spans="2:20" x14ac:dyDescent="0.4">
      <c r="D22" s="260"/>
      <c r="E22" s="260"/>
      <c r="F22" s="260"/>
      <c r="G22" s="260" t="str">
        <f>G10</f>
        <v>Chłodzenie</v>
      </c>
      <c r="H22" s="263">
        <f t="shared" si="0"/>
        <v>7.8685658081672813E-2</v>
      </c>
      <c r="I22" s="263">
        <f t="shared" si="0"/>
        <v>2.2721125236678387E-2</v>
      </c>
      <c r="J22" s="263">
        <f t="shared" si="0"/>
        <v>0.22614794664219465</v>
      </c>
      <c r="K22" s="260"/>
      <c r="L22" s="260"/>
      <c r="M22" s="260"/>
      <c r="N22" s="260"/>
      <c r="O22" s="260"/>
      <c r="P22" s="260"/>
      <c r="Q22" s="260"/>
      <c r="R22" s="260"/>
      <c r="S22" s="260"/>
    </row>
    <row r="23" spans="2:20" x14ac:dyDescent="0.4">
      <c r="D23" s="260"/>
      <c r="E23" s="260"/>
      <c r="F23" s="260"/>
      <c r="G23" s="260"/>
      <c r="H23" s="260"/>
      <c r="I23" s="260"/>
      <c r="J23" s="260"/>
      <c r="K23" s="260"/>
      <c r="L23" s="260"/>
      <c r="M23" s="260"/>
      <c r="N23" s="260"/>
      <c r="O23" s="260"/>
      <c r="P23" s="260"/>
      <c r="Q23" s="260"/>
      <c r="R23" s="260"/>
      <c r="S23" s="260"/>
    </row>
    <row r="24" spans="2:20" x14ac:dyDescent="0.4">
      <c r="D24" s="260"/>
      <c r="E24" s="260"/>
      <c r="F24" s="262"/>
      <c r="G24" s="262"/>
      <c r="H24" s="262"/>
      <c r="I24" s="262"/>
      <c r="J24" s="262"/>
      <c r="K24" s="262"/>
      <c r="L24" s="262"/>
      <c r="M24" s="260"/>
      <c r="N24" s="260"/>
      <c r="O24" s="260"/>
      <c r="P24" s="260"/>
      <c r="Q24" s="260"/>
      <c r="R24" s="260"/>
      <c r="S24" s="260"/>
    </row>
    <row r="25" spans="2:20" x14ac:dyDescent="0.4">
      <c r="F25" s="262"/>
      <c r="G25" s="262"/>
      <c r="H25" s="262"/>
      <c r="I25" s="262"/>
      <c r="J25" s="262"/>
      <c r="K25" s="262"/>
      <c r="L25" s="262"/>
    </row>
    <row r="26" spans="2:20" ht="12.9" x14ac:dyDescent="0.5">
      <c r="B26" s="256" t="s">
        <v>92</v>
      </c>
      <c r="C26" s="257"/>
      <c r="D26" s="257"/>
      <c r="E26" s="257"/>
      <c r="F26" s="257"/>
      <c r="G26" s="257"/>
      <c r="H26" s="257"/>
      <c r="I26" s="257"/>
      <c r="J26" s="258"/>
      <c r="K26" s="258"/>
      <c r="L26" s="258"/>
    </row>
    <row r="27" spans="2:20" ht="12.9" x14ac:dyDescent="0.5">
      <c r="B27" s="259" t="s">
        <v>66</v>
      </c>
      <c r="C27" s="257"/>
      <c r="D27" s="257"/>
      <c r="E27" s="257"/>
      <c r="F27" s="257"/>
      <c r="G27" s="257"/>
      <c r="H27" s="257"/>
      <c r="I27" s="257"/>
      <c r="J27" s="258"/>
      <c r="K27" s="258"/>
      <c r="L27" s="258"/>
    </row>
    <row r="28" spans="2:20" x14ac:dyDescent="0.4">
      <c r="B28" s="308" t="s">
        <v>134</v>
      </c>
      <c r="C28" s="308"/>
      <c r="D28" s="308"/>
      <c r="E28" s="308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8"/>
      <c r="R28" s="308"/>
      <c r="S28" s="308"/>
      <c r="T28" s="308"/>
    </row>
    <row r="29" spans="2:20" x14ac:dyDescent="0.4">
      <c r="B29" s="308"/>
      <c r="C29" s="308"/>
      <c r="D29" s="308"/>
      <c r="E29" s="308"/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8"/>
      <c r="R29" s="308"/>
      <c r="S29" s="308"/>
      <c r="T29" s="308"/>
    </row>
  </sheetData>
  <mergeCells count="1">
    <mergeCell ref="B28:T29"/>
  </mergeCells>
  <hyperlinks>
    <hyperlink ref="B27" r:id="rId1" xr:uid="{00000000-0004-0000-0D00-000000000000}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94193" r:id="rId5" name="Button 17">
              <controlPr defaultSize="0" print="0" autoFill="0" autoPict="0" macro="[0]!Wyniki">
                <anchor moveWithCells="1" sizeWithCells="1">
                  <from>
                    <xdr:col>0</xdr:col>
                    <xdr:colOff>228600</xdr:colOff>
                    <xdr:row>2</xdr:row>
                    <xdr:rowOff>22860</xdr:rowOff>
                  </from>
                  <to>
                    <xdr:col>2</xdr:col>
                    <xdr:colOff>198120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194" r:id="rId6" name="Button 18">
              <controlPr defaultSize="0" print="0" autoFill="0" autoPict="0" macro="[0]!Start2">
                <anchor moveWithCells="1" sizeWithCells="1">
                  <from>
                    <xdr:col>0</xdr:col>
                    <xdr:colOff>236220</xdr:colOff>
                    <xdr:row>3</xdr:row>
                    <xdr:rowOff>114300</xdr:rowOff>
                  </from>
                  <to>
                    <xdr:col>2</xdr:col>
                    <xdr:colOff>190500</xdr:colOff>
                    <xdr:row>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11</vt:i4>
      </vt:variant>
    </vt:vector>
  </HeadingPairs>
  <TitlesOfParts>
    <vt:vector size="25" baseType="lpstr">
      <vt:lpstr>Dane budynku 1</vt:lpstr>
      <vt:lpstr>Dane sprawność 2</vt:lpstr>
      <vt:lpstr>Dane koszty inwestycyjne 3</vt:lpstr>
      <vt:lpstr>Dane eksploatacja 4</vt:lpstr>
      <vt:lpstr>Start</vt:lpstr>
      <vt:lpstr>Wyniki koszty</vt:lpstr>
      <vt:lpstr>Koszty inwestycyjne</vt:lpstr>
      <vt:lpstr>Koszty r.</vt:lpstr>
      <vt:lpstr>Koszty r. suma</vt:lpstr>
      <vt:lpstr>Koszty r. %</vt:lpstr>
      <vt:lpstr>Koszty eksploatacji</vt:lpstr>
      <vt:lpstr>Zestawienie</vt:lpstr>
      <vt:lpstr>Wykres kosztów zakumulowanych</vt:lpstr>
      <vt:lpstr>Koszt energii elektrycznej</vt:lpstr>
      <vt:lpstr>'Dane budynku 1'!_r</vt:lpstr>
      <vt:lpstr>_r</vt:lpstr>
      <vt:lpstr>'Dane budynku 1'!Obszar_wydruku</vt:lpstr>
      <vt:lpstr>'Dane eksploatacja 4'!Obszar_wydruku</vt:lpstr>
      <vt:lpstr>'Dane koszty inwestycyjne 3'!Obszar_wydruku</vt:lpstr>
      <vt:lpstr>'Dane sprawność 2'!Obszar_wydruku</vt:lpstr>
      <vt:lpstr>Start!Obszar_wydruku</vt:lpstr>
      <vt:lpstr>'Dane budynku 1'!q</vt:lpstr>
      <vt:lpstr>q</vt:lpstr>
      <vt:lpstr>'Dane budynku 1'!T</vt:lpstr>
      <vt:lpstr>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Porównanie kosztów</dc:title>
  <dc:creator>Paweł Lachman</dc:creator>
  <cp:lastModifiedBy>Paweł</cp:lastModifiedBy>
  <cp:lastPrinted>2017-09-10T15:47:37Z</cp:lastPrinted>
  <dcterms:created xsi:type="dcterms:W3CDTF">2002-03-13T11:39:10Z</dcterms:created>
  <dcterms:modified xsi:type="dcterms:W3CDTF">2019-04-22T14:11:32Z</dcterms:modified>
</cp:coreProperties>
</file>